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ables/table47.xml" ContentType="application/vnd.openxmlformats-officedocument.spreadsheetml.table+xml"/>
  <Override PartName="/xl/tables/table16.xml" ContentType="application/vnd.openxmlformats-officedocument.spreadsheetml.table+xml"/>
  <Override PartName="/xl/tables/table34.xml" ContentType="application/vnd.openxmlformats-officedocument.spreadsheetml.table+xml"/>
  <Override PartName="/xl/tables/table27.xml" ContentType="application/vnd.openxmlformats-officedocument.spreadsheetml.table+xml"/>
  <Override PartName="/xl/tables/table6.xml" ContentType="application/vnd.openxmlformats-officedocument.spreadsheetml.table+xml"/>
  <Override PartName="/xl/tables/table28.xml" ContentType="application/vnd.openxmlformats-officedocument.spreadsheetml.table+xml"/>
  <Override PartName="/xl/tables/table7.xml" ContentType="application/vnd.openxmlformats-officedocument.spreadsheetml.table+xml"/>
  <Override PartName="/xl/tables/table24.xml" ContentType="application/vnd.openxmlformats-officedocument.spreadsheetml.table+xml"/>
  <Override PartName="/xl/tables/table3.xml" ContentType="application/vnd.openxmlformats-officedocument.spreadsheetml.table+xml"/>
  <Override PartName="/xl/tables/table30.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9.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5.xml" ContentType="application/vnd.openxmlformats-officedocument.spreadsheetml.table+xml"/>
  <Override PartName="/xl/tables/table26.xml" ContentType="application/vnd.openxmlformats-officedocument.spreadsheetml.table+xml"/>
  <Override PartName="/xl/tables/table1.xml" ContentType="application/vnd.openxmlformats-officedocument.spreadsheetml.table+xml"/>
  <Override PartName="/xl/tables/table22.xml" ContentType="application/vnd.openxmlformats-officedocument.spreadsheetml.table+xml"/>
  <Override PartName="/xl/tables/table2.xml" ContentType="application/vnd.openxmlformats-officedocument.spreadsheetml.table+xml"/>
  <Override PartName="/xl/tables/table23.xml" ContentType="application/vnd.openxmlformats-officedocument.spreadsheetml.table+xml"/>
  <Override PartName="/xl/tables/table4.xml" ContentType="application/vnd.openxmlformats-officedocument.spreadsheetml.table+xml"/>
  <Override PartName="/xl/tables/table25.xml" ContentType="application/vnd.openxmlformats-officedocument.spreadsheetml.table+xml"/>
  <Override PartName="/xl/tables/table8.xml" ContentType="application/vnd.openxmlformats-officedocument.spreadsheetml.table+xml"/>
  <Override PartName="/xl/tables/table29.xml" ContentType="application/vnd.openxmlformats-officedocument.spreadsheetml.table+xml"/>
  <Override PartName="/xl/tables/table9.xml" ContentType="application/vnd.openxmlformats-officedocument.spreadsheetml.table+xml"/>
  <Override PartName="/xl/tables/table40.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7.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1"/>
  </bookViews>
  <sheets>
    <sheet name="Documentation (Old)" sheetId="1" state="hidden" r:id="rId2"/>
    <sheet name="Documentation (WIP)" sheetId="2" state="visible" r:id="rId3"/>
    <sheet name="eHP Calc" sheetId="3" state="visible" r:id="rId4"/>
    <sheet name="Skill Sheet" sheetId="4" state="visible" r:id="rId5"/>
    <sheet name="Non-CV" sheetId="5" state="visible" r:id="rId6"/>
    <sheet name="CV" sheetId="6" state="visible" r:id="rId7"/>
    <sheet name="BBV" sheetId="7" state="visible" r:id="rId8"/>
    <sheet name="SS" sheetId="8" state="visible" r:id="rId9"/>
    <sheet name="SSV" sheetId="9" state="visible" r:id="rId10"/>
    <sheet name="AA" sheetId="10" state="visible" r:id="rId11"/>
    <sheet name="Enemy Stats WIP" sheetId="11" state="hidden" r:id="rId12"/>
    <sheet name="Ship Stats" sheetId="12" state="visible" r:id="rId13"/>
    <sheet name="Barrage" sheetId="13" state="visible" r:id="rId14"/>
    <sheet name="Equipment Stats" sheetId="14" state="hidden" r:id="rId15"/>
  </sheets>
  <definedNames>
    <definedName function="false" hidden="false" localSheetId="13" name="ExternalData_1" vbProcedure="false">'Equipment Stats'!$A$438:$E$449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<sst xmlns="http://schemas.openxmlformats.org/spreadsheetml/2006/main" count="15800" uniqueCount="3070">
  <si>
    <t xml:space="preserve">Azur Lane Excel DPS Calculator Ver. 0.99.8</t>
  </si>
  <si>
    <t xml:space="preserve">Funded and developed by the Bulin Conservation Foundation (Enbayft#2527 on Discord)</t>
  </si>
  <si>
    <t xml:space="preserve">Introduction:</t>
  </si>
  <si>
    <t xml:space="preserve">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</si>
  <si>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 xml:space="preserve">Features:</t>
  </si>
  <si>
    <t xml:space="preserve">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</si>
  <si>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 xml:space="preserve">Default Settings:</t>
  </si>
  <si>
    <t xml:space="preserve">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</si>
  <si>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 xml:space="preserve">RNG Skills:</t>
  </si>
  <si>
    <t xml:space="preserve">RNG skills' averages can be found via: </t>
  </si>
  <si>
    <t xml:space="preserve">For reload skills, use:                                                                                                                           Note: Error margins are a max and min of ±3%. Most cases fall between this.</t>
  </si>
  <si>
    <t xml:space="preserve">For more accuracy use:                                                                                                                           </t>
  </si>
  <si>
    <t xml:space="preserve">Usage (Names):</t>
  </si>
  <si>
    <r>
      <rPr>
        <sz val="12"/>
        <color rgb="FFE2F0D9"/>
        <rFont val="Calibri"/>
        <family val="2"/>
        <charset val="1"/>
      </rPr>
      <t xml:space="preserve">Each sheet will start off with a pre-entered ship name to introduce the user to it. Note that default name values are at</t>
    </r>
    <r>
      <rPr>
        <sz val="12"/>
        <color rgb="FFFF0000"/>
        <rFont val="Calibri"/>
        <family val="2"/>
        <charset val="1"/>
      </rPr>
      <t xml:space="preserve"> B3</t>
    </r>
    <r>
      <rPr>
        <sz val="12"/>
        <color rgb="FFE2F0D9"/>
        <rFont val="Calibri"/>
        <family val="2"/>
        <charset val="1"/>
      </rPr>
      <t xml:space="preserve">. Type in the ship name and the calculator will handle the stats. Adjust values if necessary, however, this will overwrite values. Continuing, if the ship you want is a </t>
    </r>
    <r>
      <rPr>
        <i val="true"/>
        <sz val="12"/>
        <color rgb="FFE2F0D9"/>
        <rFont val="Calibri"/>
        <family val="2"/>
        <charset val="1"/>
      </rPr>
      <t xml:space="preserve">kai </t>
    </r>
    <r>
      <rPr>
        <sz val="12"/>
        <color rgb="FFE2F0D9"/>
        <rFont val="Calibri"/>
        <family val="2"/>
        <charset val="1"/>
      </rPr>
      <t xml:space="preserve">(retrofit), append a kai to the end. Example, Mogami Kai gives you the </t>
    </r>
    <r>
      <rPr>
        <i val="true"/>
        <sz val="12"/>
        <color rgb="FFE2F0D9"/>
        <rFont val="Calibri"/>
        <family val="2"/>
        <charset val="1"/>
      </rPr>
      <t xml:space="preserve">kai</t>
    </r>
    <r>
      <rPr>
        <sz val="12"/>
        <color rgb="FFE2F0D9"/>
        <rFont val="Calibri"/>
        <family val="2"/>
        <charset val="1"/>
      </rPr>
      <t xml:space="preserve"> stats. Mogami without the </t>
    </r>
    <r>
      <rPr>
        <i val="true"/>
        <sz val="12"/>
        <color rgb="FFE2F0D9"/>
        <rFont val="Calibri"/>
        <family val="2"/>
        <charset val="1"/>
      </rPr>
      <t xml:space="preserve">kai</t>
    </r>
    <r>
      <rPr>
        <sz val="12"/>
        <color rgb="FFE2F0D9"/>
        <rFont val="Calibri"/>
        <family val="2"/>
        <charset val="1"/>
      </rPr>
      <t xml:space="preserve"> will give you her stats pre-retrofit.</t>
    </r>
  </si>
  <si>
    <r>
      <rPr>
        <sz val="12"/>
        <color rgb="FFE2F0D9"/>
        <rFont val="Calibri"/>
        <family val="2"/>
        <charset val="1"/>
      </rPr>
      <t xml:space="preserve">Select the desired equipment via clicking on the top cell (</t>
    </r>
    <r>
      <rPr>
        <sz val="12"/>
        <color rgb="FFFF0000"/>
        <rFont val="Calibri"/>
        <family val="2"/>
        <charset val="1"/>
      </rPr>
      <t xml:space="preserve">D3</t>
    </r>
    <r>
      <rPr>
        <sz val="12"/>
        <color rgb="FFE2F0D9"/>
        <rFont val="Calibri"/>
        <family val="2"/>
        <charset val="1"/>
      </rPr>
      <t xml:space="preserve"> for an example). Offense/Defensive relates to auxiliary equipment. AA section has no dropdown. The names for guns are self-explanatory. However, FIDIB means Fighters </t>
    </r>
    <r>
      <rPr>
        <i val="true"/>
        <sz val="12"/>
        <color rgb="FFE2F0D9"/>
        <rFont val="Calibri"/>
        <family val="2"/>
        <charset val="1"/>
      </rPr>
      <t xml:space="preserve">or</t>
    </r>
    <r>
      <rPr>
        <sz val="12"/>
        <color rgb="FFE2F0D9"/>
        <rFont val="Calibri"/>
        <family val="2"/>
        <charset val="1"/>
      </rPr>
      <t xml:space="preserve"> Divebombers. TORP means torpedo launchers. TB means Torpedo Divebombers. SS means submarine torpedoes.</t>
    </r>
  </si>
  <si>
    <t xml:space="preserve">Usage (Variables):</t>
  </si>
  <si>
    <r>
      <rPr>
        <sz val="12"/>
        <color rgb="FFFF0000"/>
        <rFont val="Calibri"/>
        <family val="2"/>
        <charset val="1"/>
      </rPr>
      <t xml:space="preserve">MGM</t>
    </r>
    <r>
      <rPr>
        <sz val="12"/>
        <color rgb="FFE2F0D9"/>
        <rFont val="Calibri"/>
        <family val="2"/>
        <charset val="1"/>
      </rPr>
      <t xml:space="preserve"> by default is set to 1. This means MGM+0, that is a base main gun mount with no additional mounts. If a ship has, for an example, MGM+1, type in 2. 
</t>
    </r>
    <r>
      <rPr>
        <sz val="12"/>
        <color rgb="FFFF0000"/>
        <rFont val="Calibri"/>
        <family val="2"/>
        <charset val="1"/>
      </rPr>
      <t xml:space="preserve">Barrage rounds</t>
    </r>
    <r>
      <rPr>
        <sz val="12"/>
        <color rgb="FFE2F0D9"/>
        <rFont val="Calibri"/>
        <family val="2"/>
        <charset val="1"/>
      </rPr>
      <t xml:space="preserve"> means how many times does a ship need to fire to trigger her barrage. If it is timer-based, leave it as 1. If she has MGM+X, divide the total required firing times by X+1. I.e. if a CA's barrage rounds is 10 and she has MGM+1, type in 5 (10/2 = 5).</t>
    </r>
  </si>
  <si>
    <r>
      <rPr>
        <sz val="12"/>
        <color rgb="FFFF0000"/>
        <rFont val="Calibri"/>
        <family val="2"/>
        <charset val="1"/>
      </rPr>
      <t xml:space="preserve">Crit % x</t>
    </r>
    <r>
      <rPr>
        <sz val="12"/>
        <color rgb="FFE2F0D9"/>
        <rFont val="Calibri"/>
        <family val="2"/>
        <charset val="1"/>
      </rPr>
      <t xml:space="preserve"> skills such as gun affect the probability of triggering a critical hit.
</t>
    </r>
    <r>
      <rPr>
        <sz val="12"/>
        <color rgb="FFFF0000"/>
        <rFont val="Calibri"/>
        <family val="2"/>
        <charset val="1"/>
      </rPr>
      <t xml:space="preserve">Crit x DMG</t>
    </r>
    <r>
      <rPr>
        <sz val="12"/>
        <color rgb="FFE2F0D9"/>
        <rFont val="Calibri"/>
        <family val="2"/>
        <charset val="1"/>
      </rPr>
      <t xml:space="preserve"> </t>
    </r>
    <r>
      <rPr>
        <sz val="12"/>
        <color rgb="FFFF0000"/>
        <rFont val="Calibri"/>
        <family val="2"/>
        <charset val="1"/>
      </rPr>
      <t xml:space="preserve">ADD</t>
    </r>
    <r>
      <rPr>
        <sz val="12"/>
        <color rgb="FFE2F0D9"/>
        <rFont val="Calibri"/>
        <family val="2"/>
        <charset val="1"/>
      </rPr>
      <t xml:space="preserve"> skills affect the critical damage itself.
</t>
    </r>
    <r>
      <rPr>
        <sz val="12"/>
        <color rgb="FFFF0000"/>
        <rFont val="Calibri"/>
        <family val="2"/>
        <charset val="1"/>
      </rPr>
      <t xml:space="preserve">Evasion %</t>
    </r>
    <r>
      <rPr>
        <sz val="12"/>
        <color rgb="FFE2F0D9"/>
        <rFont val="Calibri"/>
        <family val="2"/>
        <charset val="1"/>
      </rPr>
      <t xml:space="preserve"> means the probability of dodging. </t>
    </r>
    <r>
      <rPr>
        <sz val="12"/>
        <color rgb="FFFF0000"/>
        <rFont val="Calibri"/>
        <family val="2"/>
        <charset val="1"/>
      </rPr>
      <t xml:space="preserve">Evasion Mod</t>
    </r>
    <r>
      <rPr>
        <sz val="12"/>
        <color rgb="FFE2F0D9"/>
        <rFont val="Calibri"/>
        <family val="2"/>
        <charset val="1"/>
      </rPr>
      <t xml:space="preserve"> deals with modifiying the evasion value itself. </t>
    </r>
    <r>
      <rPr>
        <sz val="12"/>
        <color rgb="FFFF0000"/>
        <rFont val="Calibri"/>
        <family val="2"/>
        <charset val="1"/>
      </rPr>
      <t xml:space="preserve">Damage Reduction</t>
    </r>
    <r>
      <rPr>
        <sz val="12"/>
        <color rgb="FFE2F0D9"/>
        <rFont val="Calibri"/>
        <family val="2"/>
        <charset val="1"/>
      </rPr>
      <t xml:space="preserve"> means the reduction of incoming damage.</t>
    </r>
  </si>
  <si>
    <r>
      <rPr>
        <sz val="12"/>
        <color rgb="FFE2F0D9"/>
        <rFont val="Calibri"/>
        <family val="2"/>
        <charset val="1"/>
      </rPr>
      <t xml:space="preserve">Any cell with</t>
    </r>
    <r>
      <rPr>
        <sz val="12"/>
        <color rgb="FFFF0000"/>
        <rFont val="Calibri"/>
        <family val="2"/>
        <charset val="1"/>
      </rPr>
      <t xml:space="preserve"> x mod</t>
    </r>
    <r>
      <rPr>
        <sz val="12"/>
        <color rgb="FFE2F0D9"/>
        <rFont val="Calibri"/>
        <family val="2"/>
        <charset val="1"/>
      </rPr>
      <t xml:space="preserve">, such as FP mod, deals with modifying that particular value. 
</t>
    </r>
    <r>
      <rPr>
        <sz val="12"/>
        <color rgb="FFFF0000"/>
        <rFont val="Calibri"/>
        <family val="2"/>
        <charset val="1"/>
      </rPr>
      <t xml:space="preserve">Hunter DMG Mod</t>
    </r>
    <r>
      <rPr>
        <sz val="12"/>
        <color rgb="FFE2F0D9"/>
        <rFont val="Calibri"/>
        <family val="2"/>
        <charset val="1"/>
      </rPr>
      <t xml:space="preserve"> deals with increased % of damage against a particular target. Ammo Mod deals with any ammo bonus.
</t>
    </r>
    <r>
      <rPr>
        <sz val="12"/>
        <color rgb="FFFF0000"/>
        <rFont val="Calibri"/>
        <family val="2"/>
        <charset val="1"/>
      </rPr>
      <t xml:space="preserve">Hit Rate</t>
    </r>
    <r>
      <rPr>
        <sz val="12"/>
        <color rgb="FFE2F0D9"/>
        <rFont val="Calibri"/>
        <family val="2"/>
        <charset val="1"/>
      </rPr>
      <t xml:space="preserve"> means % of rounds that will hit a target, not including evasion. </t>
    </r>
    <r>
      <rPr>
        <sz val="12"/>
        <color rgb="FFFF0000"/>
        <rFont val="Calibri"/>
        <family val="2"/>
        <charset val="1"/>
      </rPr>
      <t xml:space="preserve">AB</t>
    </r>
    <r>
      <rPr>
        <sz val="12"/>
        <color rgb="FFE2F0D9"/>
        <rFont val="Calibri"/>
        <family val="2"/>
        <charset val="1"/>
      </rPr>
      <t xml:space="preserve"> stands are Armor Break, which depends on the ammo/plane being used.</t>
    </r>
  </si>
  <si>
    <r>
      <rPr>
        <sz val="12"/>
        <color rgb="FFE2F0D9"/>
        <rFont val="Calibri"/>
        <family val="2"/>
        <charset val="1"/>
      </rPr>
      <t xml:space="preserve">Anything that says </t>
    </r>
    <r>
      <rPr>
        <sz val="12"/>
        <color rgb="FFFF0000"/>
        <rFont val="Calibri"/>
        <family val="2"/>
        <charset val="1"/>
      </rPr>
      <t xml:space="preserve">eff increase</t>
    </r>
    <r>
      <rPr>
        <sz val="12"/>
        <color rgb="FFE2F0D9"/>
        <rFont val="Calibri"/>
        <family val="2"/>
        <charset val="1"/>
      </rPr>
      <t xml:space="preserve"> means it adds to the ship's overall efficiency. Say Bataan's F6F Hellcat skill boosts her fighter efficiency.
</t>
    </r>
    <r>
      <rPr>
        <sz val="12"/>
        <color rgb="FFFF0000"/>
        <rFont val="Calibri"/>
        <family val="2"/>
        <charset val="1"/>
      </rPr>
      <t xml:space="preserve">ENEMY AIR RESIST</t>
    </r>
    <r>
      <rPr>
        <sz val="12"/>
        <color rgb="FFE2F0D9"/>
        <rFont val="Calibri"/>
        <family val="2"/>
        <charset val="1"/>
      </rPr>
      <t xml:space="preserve"> means how much less damage does the enemy take from your CVs. 25% resist means they take 25% less damage.
</t>
    </r>
    <r>
      <rPr>
        <sz val="12"/>
        <color rgb="FFFF0000"/>
        <rFont val="Calibri"/>
        <family val="2"/>
        <charset val="1"/>
      </rPr>
      <t xml:space="preserve">Ammo</t>
    </r>
    <r>
      <rPr>
        <sz val="12"/>
        <color rgb="FFE2F0D9"/>
        <rFont val="Calibri"/>
        <family val="2"/>
        <charset val="1"/>
      </rPr>
      <t xml:space="preserve"> deals with anything like Tirpitz's skill or the 4/5 or 5/5 ammo damage bonus.</t>
    </r>
  </si>
  <si>
    <r>
      <rPr>
        <sz val="12"/>
        <color rgb="FFFF0000"/>
        <rFont val="Calibri"/>
        <family val="2"/>
        <charset val="1"/>
      </rPr>
      <t xml:space="preserve">Pre-Load or Early Strike</t>
    </r>
    <r>
      <rPr>
        <sz val="12"/>
        <color rgb="FFE2F0D9"/>
        <rFont val="Calibri"/>
        <family val="2"/>
        <charset val="1"/>
      </rPr>
      <t xml:space="preserve"> is reserved for any initial gun fire/barrages that can be unleashed at the start of battle. For an example, Dunkereque's preload or a DD's preloaded torpedoes. This damage is divided by </t>
    </r>
    <r>
      <rPr>
        <sz val="12"/>
        <color rgb="FFFF0000"/>
        <rFont val="Calibri"/>
        <family val="2"/>
        <charset val="1"/>
      </rPr>
      <t xml:space="preserve">Battle Time (s)
Battle Time (s)</t>
    </r>
    <r>
      <rPr>
        <sz val="12"/>
        <color rgb="FFE2F0D9"/>
        <rFont val="Calibri"/>
        <family val="2"/>
        <charset val="1"/>
      </rPr>
      <t xml:space="preserve"> means how long the theoretical battle will last. This is used to calculate the total damages such as </t>
    </r>
    <r>
      <rPr>
        <sz val="12"/>
        <color rgb="FFFF0000"/>
        <rFont val="Calibri"/>
        <family val="2"/>
        <charset val="1"/>
      </rPr>
      <t xml:space="preserve">Pri Battle DMG</t>
    </r>
    <r>
      <rPr>
        <sz val="12"/>
        <color rgb="FFE2F0D9"/>
        <rFont val="Calibri"/>
        <family val="2"/>
        <charset val="1"/>
      </rPr>
      <t xml:space="preserve">.</t>
    </r>
  </si>
  <si>
    <t xml:space="preserve">Usage (Barrages):</t>
  </si>
  <si>
    <r>
      <rPr>
        <sz val="12"/>
        <color rgb="FFE2F0D9"/>
        <rFont val="Calibri"/>
        <family val="2"/>
        <charset val="1"/>
      </rPr>
      <t xml:space="preserve">The barrage section (for Non-CV, it starts at </t>
    </r>
    <r>
      <rPr>
        <sz val="12"/>
        <color rgb="FFFF0000"/>
        <rFont val="Calibri"/>
        <family val="2"/>
        <charset val="1"/>
      </rPr>
      <t xml:space="preserve">B22</t>
    </r>
    <r>
      <rPr>
        <sz val="12"/>
        <color rgb="FFE2F0D9"/>
        <rFont val="Calibri"/>
        <family val="2"/>
        <charset val="1"/>
      </rPr>
      <t xml:space="preserve">) is automatic. </t>
    </r>
    <r>
      <rPr>
        <sz val="12"/>
        <color rgb="FFFF0000"/>
        <rFont val="Calibri"/>
        <family val="2"/>
        <charset val="1"/>
      </rPr>
      <t xml:space="preserve">Pay</t>
    </r>
    <r>
      <rPr>
        <sz val="12"/>
        <color rgb="FFE2F0D9"/>
        <rFont val="Calibri"/>
        <family val="2"/>
        <charset val="1"/>
      </rPr>
      <t xml:space="preserve"> attention to conditional barrages. The calculator is only concerned with retrieving the data. So say KGV's barrage which changes depending on if she has a 356mm, make adjustments.
</t>
    </r>
    <r>
      <rPr>
        <sz val="12"/>
        <color rgb="FFFF0000"/>
        <rFont val="Calibri"/>
        <family val="2"/>
        <charset val="1"/>
      </rPr>
      <t xml:space="preserve">Burn % </t>
    </r>
    <r>
      <rPr>
        <sz val="12"/>
        <color rgb="FFE2F0D9"/>
        <rFont val="Calibri"/>
        <family val="2"/>
        <charset val="1"/>
      </rPr>
      <t xml:space="preserve">is handled automatically. However, flood % and coefficient is not, so take caution there.
If a ship's trigger is based on upon-gunfire </t>
    </r>
    <r>
      <rPr>
        <i val="true"/>
        <sz val="12"/>
        <color rgb="FFE2F0D9"/>
        <rFont val="Calibri"/>
        <family val="2"/>
        <charset val="1"/>
      </rPr>
      <t xml:space="preserve">or</t>
    </r>
    <r>
      <rPr>
        <sz val="12"/>
        <color rgb="FFE2F0D9"/>
        <rFont val="Calibri"/>
        <family val="2"/>
        <charset val="1"/>
      </rPr>
      <t xml:space="preserve"> air strike, leave </t>
    </r>
    <r>
      <rPr>
        <sz val="12"/>
        <color rgb="FFFF0000"/>
        <rFont val="Calibri"/>
        <family val="2"/>
        <charset val="1"/>
      </rPr>
      <t xml:space="preserve">Trigger (s) </t>
    </r>
    <r>
      <rPr>
        <sz val="12"/>
        <color rgb="FFE2F0D9"/>
        <rFont val="Calibri"/>
        <family val="2"/>
        <charset val="1"/>
      </rPr>
      <t xml:space="preserve">= 0s.</t>
    </r>
  </si>
  <si>
    <r>
      <rPr>
        <sz val="12"/>
        <color rgb="FFFF0000"/>
        <rFont val="Calibri"/>
        <family val="2"/>
        <charset val="1"/>
      </rPr>
      <t xml:space="preserve">Crit % </t>
    </r>
    <r>
      <rPr>
        <sz val="12"/>
        <color rgb="FFE2F0D9"/>
        <rFont val="Calibri"/>
        <family val="2"/>
        <charset val="1"/>
      </rPr>
      <t xml:space="preserve">is left at 0% if the barrage crit % is the same as her other attacks. I.e., if the barrage doesn't say "100% Crit" or "Always Crit", leave as 0% (Automated, Beta)
</t>
    </r>
    <r>
      <rPr>
        <sz val="12"/>
        <color rgb="FFFF0000"/>
        <rFont val="Calibri"/>
        <family val="2"/>
        <charset val="1"/>
      </rPr>
      <t xml:space="preserve">RND modifier</t>
    </r>
    <r>
      <rPr>
        <sz val="12"/>
        <color rgb="FFE2F0D9"/>
        <rFont val="Calibri"/>
        <family val="2"/>
        <charset val="1"/>
      </rPr>
      <t xml:space="preserve"> is if a ship has a skill that boosts a particular shell/round type, i.e. boost AP by 40% and her barrage has AP. Then RND = 140%.
</t>
    </r>
    <r>
      <rPr>
        <sz val="12"/>
        <color rgb="FFFF0000"/>
        <rFont val="Calibri"/>
        <family val="2"/>
        <charset val="1"/>
      </rPr>
      <t xml:space="preserve">Stat Type</t>
    </r>
    <r>
      <rPr>
        <sz val="12"/>
        <color rgb="FFE2F0D9"/>
        <rFont val="Calibri"/>
        <family val="2"/>
        <charset val="1"/>
      </rPr>
      <t xml:space="preserve"> follows what the round is. If shell, FP. If torpedo, TP. Etc. In addition, </t>
    </r>
    <r>
      <rPr>
        <sz val="12"/>
        <color rgb="FFFF0000"/>
        <rFont val="Calibri"/>
        <family val="2"/>
        <charset val="1"/>
      </rPr>
      <t xml:space="preserve">Stat Mod</t>
    </r>
    <r>
      <rPr>
        <sz val="12"/>
        <color rgb="FFE2F0D9"/>
        <rFont val="Calibri"/>
        <family val="2"/>
        <charset val="1"/>
      </rPr>
      <t xml:space="preserve"> is how much of that stat is effective. So if it says 80% airpower, Stat Mod = 80%.</t>
    </r>
  </si>
  <si>
    <t xml:space="preserve">Settings:</t>
  </si>
  <si>
    <t xml:space="preserve">Laffey</t>
  </si>
  <si>
    <t xml:space="preserve">No Gear</t>
  </si>
  <si>
    <t xml:space="preserve">On</t>
  </si>
  <si>
    <t xml:space="preserve">Equipment Skills</t>
  </si>
  <si>
    <t xml:space="preserve">Armor</t>
  </si>
  <si>
    <t xml:space="preserve">Fire Extin.</t>
  </si>
  <si>
    <t xml:space="preserve">Naval Camo.</t>
  </si>
  <si>
    <t xml:space="preserve">Oce. Soul Camo.</t>
  </si>
  <si>
    <t xml:space="preserve">Adv. Boiler</t>
  </si>
  <si>
    <t xml:space="preserve">Fuel Filter</t>
  </si>
  <si>
    <t xml:space="preserve">Torp. Bulge</t>
  </si>
  <si>
    <t xml:space="preserve">Repair Toolkit</t>
  </si>
  <si>
    <t xml:space="preserve">4 Gods Seal</t>
  </si>
  <si>
    <r>
      <rPr>
        <sz val="11"/>
        <color rgb="FF9DC3E6"/>
        <rFont val="Calibri"/>
        <family val="2"/>
        <charset val="1"/>
      </rPr>
      <t xml:space="preserve">VH</t>
    </r>
    <r>
      <rPr>
        <sz val="10"/>
        <color rgb="FF9DC3E6"/>
        <rFont val="Calibri"/>
        <family val="2"/>
        <charset val="1"/>
      </rPr>
      <t xml:space="preserve"> </t>
    </r>
    <r>
      <rPr>
        <sz val="11"/>
        <color rgb="FF9DC3E6"/>
        <rFont val="Calibri"/>
        <family val="2"/>
        <charset val="1"/>
      </rPr>
      <t xml:space="preserve">Arm.</t>
    </r>
    <r>
      <rPr>
        <sz val="10"/>
        <color rgb="FF9DC3E6"/>
        <rFont val="Calibri"/>
        <family val="2"/>
        <charset val="1"/>
      </rPr>
      <t xml:space="preserve"> </t>
    </r>
    <r>
      <rPr>
        <sz val="11"/>
        <color rgb="FF9DC3E6"/>
        <rFont val="Calibri"/>
        <family val="2"/>
        <charset val="1"/>
      </rPr>
      <t xml:space="preserve">Plating</t>
    </r>
  </si>
  <si>
    <t xml:space="preserve">SG Radar</t>
  </si>
  <si>
    <t xml:space="preserve">Cosmic Kicks</t>
  </si>
  <si>
    <t xml:space="preserve">Beaver Badge</t>
  </si>
  <si>
    <t xml:space="preserve">Imp. Rudder</t>
  </si>
  <si>
    <t xml:space="preserve">Fire</t>
  </si>
  <si>
    <t xml:space="preserve">Off</t>
  </si>
  <si>
    <t xml:space="preserve">HP</t>
  </si>
  <si>
    <t xml:space="preserve">EVA</t>
  </si>
  <si>
    <t xml:space="preserve">Oce. Soul Camo</t>
  </si>
  <si>
    <t xml:space="preserve">Name/Level</t>
  </si>
  <si>
    <t xml:space="preserve">Automatic</t>
  </si>
  <si>
    <t xml:space="preserve">AA</t>
  </si>
  <si>
    <t xml:space="preserve">Hull Class</t>
  </si>
  <si>
    <t xml:space="preserve">LUCK</t>
  </si>
  <si>
    <t xml:space="preserve">Manual Stat Input:</t>
  </si>
  <si>
    <t xml:space="preserve">VH Armor Plating</t>
  </si>
  <si>
    <t xml:space="preserve">LCK</t>
  </si>
  <si>
    <t xml:space="preserve">All Stats</t>
  </si>
  <si>
    <t xml:space="preserve">Mixed</t>
  </si>
  <si>
    <t xml:space="preserve">N/A</t>
  </si>
  <si>
    <t xml:space="preserve">Autofilled:</t>
  </si>
  <si>
    <t xml:space="preserve">Armor Mod</t>
  </si>
  <si>
    <t xml:space="preserve">Adjustable:</t>
  </si>
  <si>
    <t xml:space="preserve">VH Armor Mod</t>
  </si>
  <si>
    <t xml:space="preserve">Evasion Skill %</t>
  </si>
  <si>
    <t xml:space="preserve">ENEMY HIT</t>
  </si>
  <si>
    <t xml:space="preserve">DNG/LV Adv Mod</t>
  </si>
  <si>
    <t xml:space="preserve">Color Scale</t>
  </si>
  <si>
    <t xml:space="preserve">Lowest</t>
  </si>
  <si>
    <t xml:space="preserve">Highest</t>
  </si>
  <si>
    <t xml:space="preserve">Evasion Mod</t>
  </si>
  <si>
    <t xml:space="preserve">ENEMY LUCK</t>
  </si>
  <si>
    <t xml:space="preserve">AA-AirP Dmg Mod</t>
  </si>
  <si>
    <t xml:space="preserve">DMG Reduction</t>
  </si>
  <si>
    <t xml:space="preserve">ENEMY Type</t>
  </si>
  <si>
    <t xml:space="preserve">DD</t>
  </si>
  <si>
    <t xml:space="preserve">Heal</t>
  </si>
  <si>
    <t xml:space="preserve">ENEMY Ammo</t>
  </si>
  <si>
    <t xml:space="preserve">Normal++</t>
  </si>
  <si>
    <t xml:space="preserve">Burn %</t>
  </si>
  <si>
    <t xml:space="preserve">AA Mod</t>
  </si>
  <si>
    <t xml:space="preserve">E Fire Rate (s) (Fire)</t>
  </si>
  <si>
    <t xml:space="preserve">Burn Reset #</t>
  </si>
  <si>
    <t xml:space="preserve">Aviation DMG Reduction</t>
  </si>
  <si>
    <t xml:space="preserve">E Bullet Count (Fire)</t>
  </si>
  <si>
    <t xml:space="preserve">Burn Coefs</t>
  </si>
  <si>
    <t xml:space="preserve">Fire Proc Reduc.</t>
  </si>
  <si>
    <t xml:space="preserve">F Ext. Burn %</t>
  </si>
  <si>
    <t xml:space="preserve">Fire Time Reduction (s)</t>
  </si>
  <si>
    <t xml:space="preserve">Battle Time (s)</t>
  </si>
  <si>
    <t xml:space="preserve">F Ext. B Reset #</t>
  </si>
  <si>
    <t xml:space="preserve">Fire DMG Reduction</t>
  </si>
  <si>
    <t xml:space="preserve">LV Difference</t>
  </si>
  <si>
    <t xml:space="preserve">F Ext. B Coefs</t>
  </si>
  <si>
    <t xml:space="preserve">DNG LV Status</t>
  </si>
  <si>
    <t xml:space="preserve">Safe</t>
  </si>
  <si>
    <t xml:space="preserve">DNG LV</t>
  </si>
  <si>
    <t xml:space="preserve">Type</t>
  </si>
  <si>
    <t xml:space="preserve">Name</t>
  </si>
  <si>
    <t xml:space="preserve">FP</t>
  </si>
  <si>
    <t xml:space="preserve">TP</t>
  </si>
  <si>
    <t xml:space="preserve">RELOAD</t>
  </si>
  <si>
    <t xml:space="preserve">HIT</t>
  </si>
  <si>
    <t xml:space="preserve">OIL</t>
  </si>
  <si>
    <t xml:space="preserve">SPEED</t>
  </si>
  <si>
    <t xml:space="preserve">ARMOR</t>
  </si>
  <si>
    <t xml:space="preserve">ASW</t>
  </si>
  <si>
    <t xml:space="preserve">Primary</t>
  </si>
  <si>
    <t xml:space="preserve">Secondary</t>
  </si>
  <si>
    <t xml:space="preserve">AA Slot 1</t>
  </si>
  <si>
    <t xml:space="preserve">AA Slot 2</t>
  </si>
  <si>
    <t xml:space="preserve">Efficiency</t>
  </si>
  <si>
    <t xml:space="preserve">Type*</t>
  </si>
  <si>
    <t xml:space="preserve">*For CV only for now</t>
  </si>
  <si>
    <t xml:space="preserve">Amount*</t>
  </si>
  <si>
    <t xml:space="preserve">BB</t>
  </si>
  <si>
    <t xml:space="preserve">Duke of York</t>
  </si>
  <si>
    <t xml:space="preserve">Aux 1</t>
  </si>
  <si>
    <t xml:space="preserve">Aux 2</t>
  </si>
  <si>
    <t xml:space="preserve">AA/Unique</t>
  </si>
  <si>
    <t xml:space="preserve">Autofill Stats:</t>
  </si>
  <si>
    <t xml:space="preserve">Offense</t>
  </si>
  <si>
    <t xml:space="preserve">CL</t>
  </si>
  <si>
    <t xml:space="preserve">Total DPS</t>
  </si>
  <si>
    <t xml:space="preserve">Total eDPS</t>
  </si>
  <si>
    <t xml:space="preserve">Primary DPS</t>
  </si>
  <si>
    <t xml:space="preserve">Total Barrage DMG</t>
  </si>
  <si>
    <t xml:space="preserve">Total Battle DMG</t>
  </si>
  <si>
    <t xml:space="preserve">Pri Battle DMG</t>
  </si>
  <si>
    <t xml:space="preserve">Sci Battle DMG</t>
  </si>
  <si>
    <t xml:space="preserve">Barrage Battle DMG</t>
  </si>
  <si>
    <t xml:space="preserve">Coef</t>
  </si>
  <si>
    <t xml:space="preserve">Primary </t>
  </si>
  <si>
    <t xml:space="preserve">Ghost (?)</t>
  </si>
  <si>
    <t xml:space="preserve">High Perf. FCR</t>
  </si>
  <si>
    <t xml:space="preserve">Type 1 APS</t>
  </si>
  <si>
    <t xml:space="preserve">2x40mm STAAG</t>
  </si>
  <si>
    <t xml:space="preserve">406mm/50</t>
  </si>
  <si>
    <t xml:space="preserve">3x155mm (IJN)</t>
  </si>
  <si>
    <t xml:space="preserve">Light</t>
  </si>
  <si>
    <t xml:space="preserve">Nation</t>
  </si>
  <si>
    <t xml:space="preserve">Medium</t>
  </si>
  <si>
    <t xml:space="preserve">Ammo</t>
  </si>
  <si>
    <t xml:space="preserve">Heavy</t>
  </si>
  <si>
    <t xml:space="preserve">Primary RoF (s)</t>
  </si>
  <si>
    <t xml:space="preserve">eHP</t>
  </si>
  <si>
    <t xml:space="preserve">Primary Shots</t>
  </si>
  <si>
    <t xml:space="preserve">Burn Coef</t>
  </si>
  <si>
    <t xml:space="preserve">Secondary RoF (s)</t>
  </si>
  <si>
    <t xml:space="preserve">Own Accuracy:</t>
  </si>
  <si>
    <t xml:space="preserve">Secondary Shots</t>
  </si>
  <si>
    <t xml:space="preserve">RoF</t>
  </si>
  <si>
    <t xml:space="preserve">EFF</t>
  </si>
  <si>
    <t xml:space="preserve">Barrage Time (s)</t>
  </si>
  <si>
    <t xml:space="preserve">Enemy Accuracy:</t>
  </si>
  <si>
    <t xml:space="preserve">VT</t>
  </si>
  <si>
    <t xml:space="preserve">SECEFF</t>
  </si>
  <si>
    <t xml:space="preserve">AB Mod</t>
  </si>
  <si>
    <t xml:space="preserve">Damage</t>
  </si>
  <si>
    <t xml:space="preserve">Crit Gun Skill %</t>
  </si>
  <si>
    <t xml:space="preserve">MGM</t>
  </si>
  <si>
    <t xml:space="preserve">FP Mod</t>
  </si>
  <si>
    <t xml:space="preserve">Ammo Mod</t>
  </si>
  <si>
    <t xml:space="preserve">Primary Hit Rate</t>
  </si>
  <si>
    <t xml:space="preserve">Rounds</t>
  </si>
  <si>
    <t xml:space="preserve">Crit Torp Skill %</t>
  </si>
  <si>
    <t xml:space="preserve">Barrage Rounds</t>
  </si>
  <si>
    <t xml:space="preserve">TP Mod</t>
  </si>
  <si>
    <t xml:space="preserve">Primary Eff Increase</t>
  </si>
  <si>
    <t xml:space="preserve">Crit Add Modifier</t>
  </si>
  <si>
    <t xml:space="preserve">Crit Base Damage</t>
  </si>
  <si>
    <t xml:space="preserve">Hit Mod</t>
  </si>
  <si>
    <t xml:space="preserve">Primary DMG Mod</t>
  </si>
  <si>
    <t xml:space="preserve">Crit% Modifier</t>
  </si>
  <si>
    <t xml:space="preserve">DAMAGE</t>
  </si>
  <si>
    <t xml:space="preserve">Crit RND DMG ADD</t>
  </si>
  <si>
    <t xml:space="preserve">RND Mod</t>
  </si>
  <si>
    <t xml:space="preserve">AB DMG Coef</t>
  </si>
  <si>
    <t xml:space="preserve">Primary Pre-Load</t>
  </si>
  <si>
    <t xml:space="preserve">Crit Mod</t>
  </si>
  <si>
    <t xml:space="preserve">ROUNDS</t>
  </si>
  <si>
    <t xml:space="preserve">Crit Torp DMG ADD</t>
  </si>
  <si>
    <t xml:space="preserve">Torp Mod</t>
  </si>
  <si>
    <t xml:space="preserve">AB %</t>
  </si>
  <si>
    <t xml:space="preserve">Crit Torp Mod</t>
  </si>
  <si>
    <t xml:space="preserve">ROF</t>
  </si>
  <si>
    <t xml:space="preserve">ENEMY EVA</t>
  </si>
  <si>
    <t xml:space="preserve">Hunter DMG Mod</t>
  </si>
  <si>
    <t xml:space="preserve">Secondary Hit Rate</t>
  </si>
  <si>
    <t xml:space="preserve">Crit Gun Mod</t>
  </si>
  <si>
    <t xml:space="preserve">Total FP</t>
  </si>
  <si>
    <t xml:space="preserve">Reload Reduction</t>
  </si>
  <si>
    <t xml:space="preserve">Sec Eff Increase</t>
  </si>
  <si>
    <t xml:space="preserve">Crit Barrage Mod</t>
  </si>
  <si>
    <t xml:space="preserve">Total TP</t>
  </si>
  <si>
    <t xml:space="preserve">Abs CD</t>
  </si>
  <si>
    <t xml:space="preserve">Reload Mod</t>
  </si>
  <si>
    <t xml:space="preserve">AA-FP %</t>
  </si>
  <si>
    <t xml:space="preserve">Secondary DMG Mod</t>
  </si>
  <si>
    <t xml:space="preserve">Gun Crit % Checker</t>
  </si>
  <si>
    <t xml:space="preserve">Total AA</t>
  </si>
  <si>
    <t xml:space="preserve">Aux Reload Reduction</t>
  </si>
  <si>
    <t xml:space="preserve">Damage Reduction</t>
  </si>
  <si>
    <t xml:space="preserve">Reload (s)</t>
  </si>
  <si>
    <t xml:space="preserve">AA-FP Stat</t>
  </si>
  <si>
    <t xml:space="preserve">Secondary Pre-Load</t>
  </si>
  <si>
    <t xml:space="preserve">Torp Crit % Checker</t>
  </si>
  <si>
    <t xml:space="preserve">Barrage Name</t>
  </si>
  <si>
    <t xml:space="preserve">Barrage DMG</t>
  </si>
  <si>
    <t xml:space="preserve">Base DMG</t>
  </si>
  <si>
    <t xml:space="preserve">RND</t>
  </si>
  <si>
    <t xml:space="preserve">Stat Type</t>
  </si>
  <si>
    <t xml:space="preserve">Stat Mod</t>
  </si>
  <si>
    <t xml:space="preserve">Crit %</t>
  </si>
  <si>
    <t xml:space="preserve">Use Regular Crit</t>
  </si>
  <si>
    <t xml:space="preserve">Trigger %</t>
  </si>
  <si>
    <t xml:space="preserve">Trigger (s)</t>
  </si>
  <si>
    <t xml:space="preserve">Initial Barrage (s)</t>
  </si>
  <si>
    <t xml:space="preserve">N</t>
  </si>
  <si>
    <t xml:space="preserve">Own HP</t>
  </si>
  <si>
    <t xml:space="preserve">Own eHP</t>
  </si>
  <si>
    <t xml:space="preserve">Own Accuracy</t>
  </si>
  <si>
    <t xml:space="preserve">O Corrected Accuracy</t>
  </si>
  <si>
    <t xml:space="preserve">Enemy Accuracy</t>
  </si>
  <si>
    <t xml:space="preserve">E Corrected Accuracy</t>
  </si>
  <si>
    <t xml:space="preserve">Total Primary Damage</t>
  </si>
  <si>
    <t xml:space="preserve">Total Secondary Damage</t>
  </si>
  <si>
    <t xml:space="preserve">Eff Primary Damage</t>
  </si>
  <si>
    <t xml:space="preserve">Eff Secondary Damage</t>
  </si>
  <si>
    <t xml:space="preserve">Barrage</t>
  </si>
  <si>
    <t xml:space="preserve">DMG 1</t>
  </si>
  <si>
    <t xml:space="preserve">DMG 2</t>
  </si>
  <si>
    <t xml:space="preserve">DMG 3</t>
  </si>
  <si>
    <t xml:space="preserve">DMG 4</t>
  </si>
  <si>
    <t xml:space="preserve">DMG 5</t>
  </si>
  <si>
    <t xml:space="preserve">DMG 6</t>
  </si>
  <si>
    <t xml:space="preserve">DMG 7</t>
  </si>
  <si>
    <t xml:space="preserve">Main Gun Reload (s)</t>
  </si>
  <si>
    <t xml:space="preserve">Main Gun Delay 1</t>
  </si>
  <si>
    <t xml:space="preserve">Burn DMG</t>
  </si>
  <si>
    <t xml:space="preserve">Barrage DPS</t>
  </si>
  <si>
    <t xml:space="preserve">Secondary DPS</t>
  </si>
  <si>
    <t xml:space="preserve">Burn DPS</t>
  </si>
  <si>
    <t xml:space="preserve">CVL</t>
  </si>
  <si>
    <t xml:space="preserve">Unicorn</t>
  </si>
  <si>
    <t xml:space="preserve">Slot 1</t>
  </si>
  <si>
    <t xml:space="preserve">Slot 2</t>
  </si>
  <si>
    <t xml:space="preserve">Slot 3</t>
  </si>
  <si>
    <t xml:space="preserve">Defense</t>
  </si>
  <si>
    <t xml:space="preserve">FIDIB</t>
  </si>
  <si>
    <t xml:space="preserve">TB</t>
  </si>
  <si>
    <t xml:space="preserve">Total Strike Damage</t>
  </si>
  <si>
    <t xml:space="preserve">Pri Strike Damage</t>
  </si>
  <si>
    <t xml:space="preserve">Sec Strike Damage</t>
  </si>
  <si>
    <t xml:space="preserve">Tri Strike Damage</t>
  </si>
  <si>
    <t xml:space="preserve">Barrage Strike Damage</t>
  </si>
  <si>
    <t xml:space="preserve">Total AirP</t>
  </si>
  <si>
    <t xml:space="preserve">Steam Catapult</t>
  </si>
  <si>
    <t xml:space="preserve">VF-17 Squadron</t>
  </si>
  <si>
    <t xml:space="preserve">Fairey Barracuda</t>
  </si>
  <si>
    <t xml:space="preserve">AS</t>
  </si>
  <si>
    <t xml:space="preserve"># of Planes</t>
  </si>
  <si>
    <t xml:space="preserve">Lbase</t>
  </si>
  <si>
    <t xml:space="preserve">AirP</t>
  </si>
  <si>
    <t xml:space="preserve">Total Strikes</t>
  </si>
  <si>
    <t xml:space="preserve">Mbase</t>
  </si>
  <si>
    <t xml:space="preserve">Enemy Acc:</t>
  </si>
  <si>
    <t xml:space="preserve">Hbase</t>
  </si>
  <si>
    <t xml:space="preserve">CD (s)</t>
  </si>
  <si>
    <t xml:space="preserve">Asbase</t>
  </si>
  <si>
    <t xml:space="preserve">AirP Mod</t>
  </si>
  <si>
    <t xml:space="preserve">Early Strike</t>
  </si>
  <si>
    <t xml:space="preserve">Reload Skill %</t>
  </si>
  <si>
    <t xml:space="preserve">DMG Mod</t>
  </si>
  <si>
    <t xml:space="preserve">Reload Reduction %</t>
  </si>
  <si>
    <t xml:space="preserve">Tri Eff Increase</t>
  </si>
  <si>
    <t xml:space="preserve">Sec Extra Planes</t>
  </si>
  <si>
    <t xml:space="preserve">Cooldown (s)</t>
  </si>
  <si>
    <t xml:space="preserve">Flood Coef</t>
  </si>
  <si>
    <t xml:space="preserve">ENEMY AIR RESIST</t>
  </si>
  <si>
    <t xml:space="preserve">Crit Skill %</t>
  </si>
  <si>
    <t xml:space="preserve">Flood %</t>
  </si>
  <si>
    <t xml:space="preserve">Crit Base DMG</t>
  </si>
  <si>
    <t xml:space="preserve">Bomb Hit Rate</t>
  </si>
  <si>
    <t xml:space="preserve">(Empiricial)</t>
  </si>
  <si>
    <t xml:space="preserve">Burn</t>
  </si>
  <si>
    <t xml:space="preserve">Torpedo Hit Rate</t>
  </si>
  <si>
    <t xml:space="preserve">Burn Coeff</t>
  </si>
  <si>
    <t xml:space="preserve">Flood Coeff</t>
  </si>
  <si>
    <t xml:space="preserve">Hit Rate</t>
  </si>
  <si>
    <t xml:space="preserve">Initial Barrage(s)</t>
  </si>
  <si>
    <t xml:space="preserve">Slot 1 DPS</t>
  </si>
  <si>
    <t xml:space="preserve">Slot 2 DPS</t>
  </si>
  <si>
    <t xml:space="preserve">Slot 3 DPS</t>
  </si>
  <si>
    <t xml:space="preserve">DPS 1</t>
  </si>
  <si>
    <t xml:space="preserve">DPS 2</t>
  </si>
  <si>
    <t xml:space="preserve">DPS 3</t>
  </si>
  <si>
    <t xml:space="preserve">DPS 4</t>
  </si>
  <si>
    <t xml:space="preserve">DPS 5</t>
  </si>
  <si>
    <t xml:space="preserve">DPS 6</t>
  </si>
  <si>
    <t xml:space="preserve">DPS 7</t>
  </si>
  <si>
    <t xml:space="preserve">DPS 8</t>
  </si>
  <si>
    <t xml:space="preserve">DMG 8</t>
  </si>
  <si>
    <t xml:space="preserve">Passive</t>
  </si>
  <si>
    <t xml:space="preserve">Flood</t>
  </si>
  <si>
    <t xml:space="preserve">Flood DPS</t>
  </si>
  <si>
    <t xml:space="preserve">Ise Kai</t>
  </si>
  <si>
    <t xml:space="preserve">Airstrike DPS</t>
  </si>
  <si>
    <t xml:space="preserve">Gun DPS</t>
  </si>
  <si>
    <t xml:space="preserve">Sec Battle DMG</t>
  </si>
  <si>
    <t xml:space="preserve">2x410mm Purple</t>
  </si>
  <si>
    <t xml:space="preserve">Zuiun</t>
  </si>
  <si>
    <t xml:space="preserve">Own Acc</t>
  </si>
  <si>
    <t xml:space="preserve">Airstrike CD (s)</t>
  </si>
  <si>
    <t xml:space="preserve">Gun CD (s)</t>
  </si>
  <si>
    <t xml:space="preserve">Enemy Acc</t>
  </si>
  <si>
    <t xml:space="preserve">Adjustable Stats:</t>
  </si>
  <si>
    <t xml:space="preserve">Evasion Skill</t>
  </si>
  <si>
    <t xml:space="preserve">Evasion Modifier</t>
  </si>
  <si>
    <t xml:space="preserve">Preloaded Primary</t>
  </si>
  <si>
    <t xml:space="preserve">Air Strike Cooldown (s)</t>
  </si>
  <si>
    <t xml:space="preserve">Preloaded Airstrike</t>
  </si>
  <si>
    <t xml:space="preserve">Gun Cooldown (s)</t>
  </si>
  <si>
    <t xml:space="preserve">Total AS</t>
  </si>
  <si>
    <t xml:space="preserve">Secondary Cooldown (s)</t>
  </si>
  <si>
    <t xml:space="preserve">Crit Modifier</t>
  </si>
  <si>
    <t xml:space="preserve">SS</t>
  </si>
  <si>
    <t xml:space="preserve">I-19</t>
  </si>
  <si>
    <t xml:space="preserve">Tertiary</t>
  </si>
  <si>
    <t xml:space="preserve">Total Damage</t>
  </si>
  <si>
    <t xml:space="preserve">Equivalent DPS</t>
  </si>
  <si>
    <t xml:space="preserve">Equivalent eDPS</t>
  </si>
  <si>
    <t xml:space="preserve">Type 93 Rainbow</t>
  </si>
  <si>
    <t xml:space="preserve">Type 95 Oxygen Torpedo</t>
  </si>
  <si>
    <t xml:space="preserve">Mark 16 Torpedo</t>
  </si>
  <si>
    <t xml:space="preserve">2x127mm (Mk 12)</t>
  </si>
  <si>
    <t xml:space="preserve">OXY</t>
  </si>
  <si>
    <t xml:space="preserve">Surface T</t>
  </si>
  <si>
    <t xml:space="preserve">Sub T</t>
  </si>
  <si>
    <t xml:space="preserve">Total T</t>
  </si>
  <si>
    <t xml:space="preserve">Torp#</t>
  </si>
  <si>
    <t xml:space="preserve">Pri  Reload Time</t>
  </si>
  <si>
    <t xml:space="preserve">Primary RoF</t>
  </si>
  <si>
    <t xml:space="preserve">Sec Reload Time</t>
  </si>
  <si>
    <t xml:space="preserve">Secondary RoF</t>
  </si>
  <si>
    <t xml:space="preserve">Total Time</t>
  </si>
  <si>
    <t xml:space="preserve">Tertiary RoF</t>
  </si>
  <si>
    <t xml:space="preserve">TRIEFF</t>
  </si>
  <si>
    <t xml:space="preserve">Crit Gun DMG %</t>
  </si>
  <si>
    <t xml:space="preserve">Crit Torp DMG %</t>
  </si>
  <si>
    <t xml:space="preserve">TORP Mod</t>
  </si>
  <si>
    <t xml:space="preserve">Total OXY</t>
  </si>
  <si>
    <t xml:space="preserve">Torpedo Capacity</t>
  </si>
  <si>
    <t xml:space="preserve">Sum Damage:</t>
  </si>
  <si>
    <t xml:space="preserve">Flood DMG</t>
  </si>
  <si>
    <t xml:space="preserve">Barrage Damage</t>
  </si>
  <si>
    <t xml:space="preserve">Barrage DAM</t>
  </si>
  <si>
    <t xml:space="preserve">Sum Barrage</t>
  </si>
  <si>
    <t xml:space="preserve">SSV</t>
  </si>
  <si>
    <t xml:space="preserve">I-13</t>
  </si>
  <si>
    <t xml:space="preserve">Seiran</t>
  </si>
  <si>
    <t xml:space="preserve">Air Superiority</t>
  </si>
  <si>
    <t xml:space="preserve">Torp/Plane #</t>
  </si>
  <si>
    <t xml:space="preserve">Air Power Mod</t>
  </si>
  <si>
    <t xml:space="preserve">AR</t>
  </si>
  <si>
    <t xml:space="preserve">Vestal</t>
  </si>
  <si>
    <t xml:space="preserve">Aux 3</t>
  </si>
  <si>
    <t xml:space="preserve">AA1</t>
  </si>
  <si>
    <t xml:space="preserve">AA2</t>
  </si>
  <si>
    <t xml:space="preserve">Auto:</t>
  </si>
  <si>
    <t xml:space="preserve">SUMRNG</t>
  </si>
  <si>
    <t xml:space="preserve">COEFF</t>
  </si>
  <si>
    <t xml:space="preserve">SUMGUNS</t>
  </si>
  <si>
    <t xml:space="preserve">SUMDMG</t>
  </si>
  <si>
    <t xml:space="preserve">High Perf. AAR</t>
  </si>
  <si>
    <t xml:space="preserve">2x113mm BD RP10</t>
  </si>
  <si>
    <t xml:space="preserve">RoF AA1</t>
  </si>
  <si>
    <t xml:space="preserve">AVGRANGE</t>
  </si>
  <si>
    <t xml:space="preserve">SUMDPS</t>
  </si>
  <si>
    <t xml:space="preserve">RoF AA2</t>
  </si>
  <si>
    <t xml:space="preserve">AVGRoF (s)</t>
  </si>
  <si>
    <t xml:space="preserve">AAEFF</t>
  </si>
  <si>
    <t xml:space="preserve">Plane Velocity</t>
  </si>
  <si>
    <t xml:space="preserve">AAEFF2</t>
  </si>
  <si>
    <t xml:space="preserve">Travel Time (s)</t>
  </si>
  <si>
    <t xml:space="preserve">AAGM</t>
  </si>
  <si>
    <t xml:space="preserve">Total Ticks</t>
  </si>
  <si>
    <t xml:space="preserve">AA DMG Mod</t>
  </si>
  <si>
    <t xml:space="preserve">RNG</t>
  </si>
  <si>
    <t xml:space="preserve">AA1 Damage:</t>
  </si>
  <si>
    <t xml:space="preserve">Tick-Based DPS</t>
  </si>
  <si>
    <t xml:space="preserve">AA Guns #</t>
  </si>
  <si>
    <t xml:space="preserve">AA2 Damage:</t>
  </si>
  <si>
    <t xml:space="preserve">San Diego Kai</t>
  </si>
  <si>
    <t xml:space="preserve">Monarch</t>
  </si>
  <si>
    <t xml:space="preserve">CA</t>
  </si>
  <si>
    <t xml:space="preserve">Saint Louis</t>
  </si>
  <si>
    <t xml:space="preserve">Montpelier</t>
  </si>
  <si>
    <t xml:space="preserve">MEAN</t>
  </si>
  <si>
    <t xml:space="preserve">RANDOM</t>
  </si>
  <si>
    <t xml:space="preserve">Plane #</t>
  </si>
  <si>
    <t xml:space="preserve">Damage Coeff</t>
  </si>
  <si>
    <t xml:space="preserve">Total DamCoef</t>
  </si>
  <si>
    <t xml:space="preserve">Sum Damage</t>
  </si>
  <si>
    <t xml:space="preserve">Total Damage Coefficient</t>
  </si>
  <si>
    <t xml:space="preserve">Base Damage Pool</t>
  </si>
  <si>
    <t xml:space="preserve">Total Damage Pool</t>
  </si>
  <si>
    <t xml:space="preserve">World</t>
  </si>
  <si>
    <t xml:space="preserve">Plane</t>
  </si>
  <si>
    <t xml:space="preserve">Speed</t>
  </si>
  <si>
    <t xml:space="preserve">Velocity</t>
  </si>
  <si>
    <t xml:space="preserve">Velocity = Range / Time</t>
  </si>
  <si>
    <t xml:space="preserve">13-1</t>
  </si>
  <si>
    <t xml:space="preserve">Lingzhan52</t>
  </si>
  <si>
    <t xml:space="preserve">Defined Range: 20 Units</t>
  </si>
  <si>
    <t xml:space="preserve">Tianshan</t>
  </si>
  <si>
    <t xml:space="preserve">ID</t>
  </si>
  <si>
    <t xml:space="preserve">Rarity</t>
  </si>
  <si>
    <t xml:space="preserve">Armor Type</t>
  </si>
  <si>
    <t xml:space="preserve">Oil</t>
  </si>
  <si>
    <t xml:space="preserve">SPD</t>
  </si>
  <si>
    <t xml:space="preserve">Luck</t>
  </si>
  <si>
    <t xml:space="preserve">Hit</t>
  </si>
  <si>
    <t xml:space="preserve">Skill1</t>
  </si>
  <si>
    <t xml:space="preserve">Skill2</t>
  </si>
  <si>
    <t xml:space="preserve">Skill3</t>
  </si>
  <si>
    <t xml:space="preserve">SkillName1</t>
  </si>
  <si>
    <t xml:space="preserve">SkillName2</t>
  </si>
  <si>
    <t xml:space="preserve">SkillName3</t>
  </si>
  <si>
    <t xml:space="preserve">Akashi</t>
  </si>
  <si>
    <t xml:space="preserve">IJN</t>
  </si>
  <si>
    <t xml:space="preserve">Super Rare </t>
  </si>
  <si>
    <t xml:space="preserve">Every 35 seconds, recovers HP of entire fleet equal to 1% (3%) of Akashi's max HP.</t>
  </si>
  <si>
    <t xml:space="preserve">Increases Reload of the Escort Fleet by 5% (15%). Does not stack with other command skills that have similar effect.</t>
  </si>
  <si>
    <t xml:space="preserve">Begins each Sortie with 1 (3) Emergency Repair.</t>
  </si>
  <si>
    <t xml:space="preserve">Logistics Maintenance</t>
  </si>
  <si>
    <t xml:space="preserve">Reload Command - Vanguard</t>
  </si>
  <si>
    <t xml:space="preserve">Regular Maintenance</t>
  </si>
  <si>
    <t xml:space="preserve">USS</t>
  </si>
  <si>
    <t xml:space="preserve">Elite </t>
  </si>
  <si>
    <t xml:space="preserve">Once per battle, when a ship falls under 20% Health: heals that ship for 10% (20%) of its max Health. If the target is Enterprise, the healing amount is increased by 50%.</t>
  </si>
  <si>
    <t xml:space="preserve">Damage Control</t>
  </si>
  <si>
    <t xml:space="preserve">Barg1</t>
  </si>
  <si>
    <t xml:space="preserve">Kashino</t>
  </si>
  <si>
    <t xml:space="preserve">Elite</t>
  </si>
  <si>
    <t xml:space="preserve">AE</t>
  </si>
  <si>
    <t xml:space="preserve">For her first 3 battles of each sortie, reduce Gun damage taken by self by 10%. At start of battle, if fleet contains 2 or more Sakura Empire ships, increase own Speed by 10.</t>
  </si>
  <si>
    <t xml:space="preserve">When equipped with Transport Gear, reduce self burn damage taken by 15%, and burn time by 6s.</t>
  </si>
  <si>
    <t xml:space="preserve">	Every 15 (10) shots from the main battery, triggers Full Barrage - Kashino I (II).</t>
  </si>
  <si>
    <t xml:space="preserve">Robust Ballasts</t>
  </si>
  <si>
    <t xml:space="preserve">Cargo Fire Precautions</t>
  </si>
  <si>
    <t xml:space="preserve">All Out Assault</t>
  </si>
  <si>
    <t xml:space="preserve">Kashino-Exclusive Barrage</t>
  </si>
  <si>
    <t xml:space="preserve">Barg2</t>
  </si>
  <si>
    <t xml:space="preserve">Barg3</t>
  </si>
  <si>
    <t xml:space="preserve">Barg4</t>
  </si>
  <si>
    <t xml:space="preserve">Skill4</t>
  </si>
  <si>
    <t xml:space="preserve">SkillName4</t>
  </si>
  <si>
    <t xml:space="preserve">X1</t>
  </si>
  <si>
    <t xml:space="preserve">BILI</t>
  </si>
  <si>
    <t xml:space="preserve">DD </t>
  </si>
  <si>
    <t xml:space="preserve">22-Exclusive Barrage</t>
  </si>
  <si>
    <t xml:space="preserve">When sortied as the Escort Fleet Leader (First Slot) and paired with 33, increase Firepower, Reload by 10% (30%) and Evasion by 15% (35%) for both 22 and 33.</t>
  </si>
  <si>
    <t xml:space="preserve">Every 15 (10) shots from the main battery, trigger Full Barrage - 22 Class I (II)</t>
  </si>
  <si>
    <t xml:space="preserve">Bilibili Mascot Girl - 22</t>
  </si>
  <si>
    <t xml:space="preserve">Full Barrage</t>
  </si>
  <si>
    <t xml:space="preserve">X2</t>
  </si>
  <si>
    <t xml:space="preserve">33-Exclusive Barrage</t>
  </si>
  <si>
    <t xml:space="preserve">When sortied as the Escort Fleet Leader (First Slot) and paired with 22, increase Torpedo stat by 15% (35%) for both 22 and 33.</t>
  </si>
  <si>
    <t xml:space="preserve">Every 15 (10) shots from the main battery, trigger Full Barrage - Class 33 I (II)</t>
  </si>
  <si>
    <t xml:space="preserve">Bilibili Mascot Girl - 33</t>
  </si>
  <si>
    <t xml:space="preserve">Acasta</t>
  </si>
  <si>
    <t xml:space="preserve">HMS</t>
  </si>
  <si>
    <t xml:space="preserve">Rare </t>
  </si>
  <si>
    <t xml:space="preserve">A-Class Barrage</t>
  </si>
  <si>
    <t xml:space="preserve">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</si>
  <si>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</si>
  <si>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 xml:space="preserve">Every 15 (10) times the main battery is fired, trigger Full Barrage - A-Class I (II).</t>
  </si>
  <si>
    <t xml:space="preserve">Death Raid</t>
  </si>
  <si>
    <t xml:space="preserve">Smokescreen</t>
  </si>
  <si>
    <t xml:space="preserve">Acasta Kai</t>
  </si>
  <si>
    <t xml:space="preserve">Flagship Protection</t>
  </si>
  <si>
    <t xml:space="preserve">Reduce the damage taken by the Flagship by 15% (25%).</t>
  </si>
  <si>
    <t xml:space="preserve">Akatsuki</t>
  </si>
  <si>
    <t xml:space="preserve">Akatsuki-Class Barrage</t>
  </si>
  <si>
    <t xml:space="preserve">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</si>
  <si>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</si>
  <si>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 xml:space="preserve">DesDiv 6's Elite - Akatsuki</t>
  </si>
  <si>
    <t xml:space="preserve">Alywin</t>
  </si>
  <si>
    <t xml:space="preserve">When alive in fleet, reduce damage taken by allied CV/L by 5% (15%). Does not stack with the same skill.</t>
  </si>
  <si>
    <t xml:space="preserve">Every 15 (10) times the main gun is fired, triggers Full Barrage - Farragut Class I (II)</t>
  </si>
  <si>
    <t xml:space="preserve">Carrier Protection</t>
  </si>
  <si>
    <t xml:space="preserve">Amazon</t>
  </si>
  <si>
    <t xml:space="preserve">Increases experience gained by Destroyers by 6% (18%).</t>
  </si>
  <si>
    <t xml:space="preserve">Every 15 (10) times the main gun is fired, trigger Full Barrage - A-Class I(II)</t>
  </si>
  <si>
    <t xml:space="preserve">Prototype Ship</t>
  </si>
  <si>
    <t xml:space="preserve">Amazon Kai</t>
  </si>
  <si>
    <t xml:space="preserve">An Shan</t>
  </si>
  <si>
    <t xml:space="preserve">CN </t>
  </si>
  <si>
    <t xml:space="preserve">Anshan-Class Barrage</t>
  </si>
  <si>
    <t xml:space="preserve">Seal of the Four Gods</t>
  </si>
  <si>
    <t xml:space="preserve">During sortie, increases Accuracy, Firepower by 10% (25%) and Evasion by 4% (10%) for all An Shan-class destroyers.</t>
  </si>
  <si>
    <t xml:space="preserve">Every 15 (10) times the main guns is fired, triggers Full Barrage - Anshan Class I (II)</t>
  </si>
  <si>
    <t xml:space="preserve">An Shan Lead Ship</t>
  </si>
  <si>
    <t xml:space="preserve">Arashio</t>
  </si>
  <si>
    <t xml:space="preserve">Asashio-Class Barrage</t>
  </si>
  <si>
    <t xml:space="preserve">Decreases damage Vanguard Fleet takes when colliding with an enemy ship by 15% (30%).</t>
  </si>
  <si>
    <t xml:space="preserve">Every 15 (10) shots from the main battery, triggers Full Barrage - Asashio Class I (II)</t>
  </si>
  <si>
    <t xml:space="preserve">Ramming Prohibited</t>
  </si>
  <si>
    <t xml:space="preserve">Ardent</t>
  </si>
  <si>
    <t xml:space="preserve">While alive in fleet, reduce damage taken by allied CVs/CVLs by 5% (15%). Does not stack with the same skill.</t>
  </si>
  <si>
    <t xml:space="preserve">Every 20 seconds: 25% chance to reduce a random enemy's Reload and damage for 5 (10) seconds. Effect prioritizes elite (human-form) enemies. Does not stack with the same skill.</t>
  </si>
  <si>
    <t xml:space="preserve">Every 15 (10) times the main battery is fired, trigger Full Barrage - A-Class I (II)</t>
  </si>
  <si>
    <t xml:space="preserve">Disturbance Shooting</t>
  </si>
  <si>
    <t xml:space="preserve">Ardent Kai</t>
  </si>
  <si>
    <t xml:space="preserve">While alive in fleet, increases airstrike damage dealt by all CVs/CVLs by 5% (15%). Does not stacks with same skill.</t>
  </si>
  <si>
    <t xml:space="preserve">Air Raid Assistance</t>
  </si>
  <si>
    <t xml:space="preserve">Ariake</t>
  </si>
  <si>
    <t xml:space="preserve">Hatsuharu-Class Barrage</t>
  </si>
  <si>
    <t xml:space="preserve">When launching a wave of torpedoes: 15% (30%) chance to launch another wave.</t>
  </si>
  <si>
    <t xml:space="preserve">Every 15 (10) times the main battery is fired, trigger Full Barrage - Hatsuharu Class I (II)</t>
  </si>
  <si>
    <t xml:space="preserve">Chain Torpedo</t>
  </si>
  <si>
    <t xml:space="preserve">Asashio</t>
  </si>
  <si>
    <t xml:space="preserve">In combat, increases Firepower and Reload by 5% (15%), and Torpedo stat by 4% (8%) for all Destroyers from Destroyer Division 8 (Asashio, Ooshio, Michishio and Arashio).</t>
  </si>
  <si>
    <t xml:space="preserve">Increases own Accuracy by 5% (20%) against enemy destroyers and decreases Torpedo damage taken from enemy destroyers by 5% (20%).</t>
  </si>
  <si>
    <t xml:space="preserve">The 8th Destroyer Division</t>
  </si>
  <si>
    <t xml:space="preserve">Anti-Destroyer Tactics</t>
  </si>
  <si>
    <t xml:space="preserve">Aulick</t>
  </si>
  <si>
    <t xml:space="preserve">Normal </t>
  </si>
  <si>
    <t xml:space="preserve">Fletcher-Class Barrage</t>
  </si>
  <si>
    <t xml:space="preserve">Every 20 seconds, 30% (60%) chance to increase own Reload by 20% (40%) for 10 seconds.</t>
  </si>
  <si>
    <t xml:space="preserve">Every 15 (10) times the main battery is fired, trigger Full Barrage - Fletcher Class I (II)</t>
  </si>
  <si>
    <t xml:space="preserve">Quick Reload</t>
  </si>
  <si>
    <t xml:space="preserve">Ayanami</t>
  </si>
  <si>
    <t xml:space="preserve">Ayanami-Exclusive Barrage</t>
  </si>
  <si>
    <t xml:space="preserve">When firing main gun, 5% chance to increase own Torpedo stat by 30% (60%) for 12 seconds.</t>
  </si>
  <si>
    <t xml:space="preserve">Every 15 (10) times the main battery is fired, triggers Full Barrage - Ayanami I (II)</t>
  </si>
  <si>
    <t xml:space="preserve">Demon God</t>
  </si>
  <si>
    <t xml:space="preserve">Ayanami Kai</t>
  </si>
  <si>
    <t xml:space="preserve">Demon Dance HE</t>
  </si>
  <si>
    <t xml:space="preserve">Demon Dance TP</t>
  </si>
  <si>
    <t xml:space="preserve">Every 20 seconds, 40% (70%) chance to increase own Evasion by 30% for 5 seconds and release a powerful barrage while launching fast torpedoes in a helical pattern.</t>
  </si>
  <si>
    <t xml:space="preserve">Demon Dance</t>
  </si>
  <si>
    <t xml:space="preserve">Bache</t>
  </si>
  <si>
    <t xml:space="preserve">Reduces aviation damage taken to self by 10% (30%). When firing Anti-Air guns: 25% chance to increase own Anti-Air by 10% (30%) for 8 seconds.</t>
  </si>
  <si>
    <t xml:space="preserve">Every 15 (10) times the main battery is fired, triggers Full Barrage - Fletcher-class I (II)</t>
  </si>
  <si>
    <t xml:space="preserve">Windy Becky</t>
  </si>
  <si>
    <t xml:space="preserve">Bailey</t>
  </si>
  <si>
    <t xml:space="preserve">Benson-Class Barrage</t>
  </si>
  <si>
    <t xml:space="preserve">After battle begins and 15% (30%) chance to activate every 15 seconds after that: deploy a smokescreen for 5 seconds. Escort ships within the smokescreen have 20% (40%) additional evasion. Does not stack with same skill effect.</t>
  </si>
  <si>
    <t xml:space="preserve">Every 15 (10) shots from the main battery, trigger Full Barrage - Benson Class I (II).</t>
  </si>
  <si>
    <t xml:space="preserve">Bailey Kai</t>
  </si>
  <si>
    <t xml:space="preserve">25% chance to activate every 20 seconds: reduce a random enemy's Reload and damage for 5 (10)s. Effect prioritizes elite (human-form) enemies. Does not stack with the same skill.</t>
  </si>
  <si>
    <t xml:space="preserve">Interference</t>
  </si>
  <si>
    <t xml:space="preserve">Beagle</t>
  </si>
  <si>
    <t xml:space="preserve">B-Class Barrage</t>
  </si>
  <si>
    <t xml:space="preserve">Every 20 seconds, 15% (30%) chance to evade all incoming attacks for 6 seconds.</t>
  </si>
  <si>
    <t xml:space="preserve">Every 15 (10) times the main gun is fired, trigger Full Barrage - B-Class I (II)</t>
  </si>
  <si>
    <t xml:space="preserve">Emergency Evasion</t>
  </si>
  <si>
    <t xml:space="preserve">Benson</t>
  </si>
  <si>
    <t xml:space="preserve">Every 15 (10) times the main battery is fired, triggers Full Barrage - Benson Class I (II)</t>
  </si>
  <si>
    <t xml:space="preserve">C003</t>
  </si>
  <si>
    <t xml:space="preserve">Blanc</t>
  </si>
  <si>
    <t xml:space="preserve">Neptunia </t>
  </si>
  <si>
    <t xml:space="preserve">If in same fleet with Vert/Green Heart, increase own damage dealt by 10% (25%) and damage received by 10% (15%). Otherwise, decrease damage received by 10% (25%) and damage dealt by 10% (15%).</t>
  </si>
  <si>
    <t xml:space="preserve">Silt Break</t>
  </si>
  <si>
    <t xml:space="preserve">Bulldog</t>
  </si>
  <si>
    <t xml:space="preserve">Bush</t>
  </si>
  <si>
    <t xml:space="preserve">Increase own Anti-Air by 5% (15%).</t>
  </si>
  <si>
    <t xml:space="preserve">Every 15 (10) times the main battery is fired, trigger Full Barrage - Fletcher Class I (II).</t>
  </si>
  <si>
    <t xml:space="preserve">Anti-Air Alert</t>
  </si>
  <si>
    <t xml:space="preserve">Carabiniere</t>
  </si>
  <si>
    <t xml:space="preserve">RN</t>
  </si>
  <si>
    <t xml:space="preserve">Soldati-Class Barrage</t>
  </si>
  <si>
    <t xml:space="preserve">Increases own damage dealt with Torpedoes by 30% (50%) for the first 3 Torpedo launches.</t>
  </si>
  <si>
    <t xml:space="preserve">Every 20 seconds, if placed in the back most position of the Escort Fleet (there must be at least 2 Escort ships alive): 40% (70%) chance to increase damage dealt by self and the ship in the front most position of the Escort Fleet by 5% (15%) for 10 seconds.</t>
  </si>
  <si>
    <t xml:space="preserve">Every 15 (10) times the main battery is fired, triggers Full Barrage - Soldati-class I (II)</t>
  </si>
  <si>
    <t xml:space="preserve">Ricarica!</t>
  </si>
  <si>
    <t xml:space="preserve">Fuoco di Copertura!</t>
  </si>
  <si>
    <t xml:space="preserve">Cassin</t>
  </si>
  <si>
    <t xml:space="preserve">Mahan-Class Barrage</t>
  </si>
  <si>
    <t xml:space="preserve">When Health falls under 20%, heal 15% (25%) of max Health. Can only occur once per battle.</t>
  </si>
  <si>
    <t xml:space="preserve">Every 15 (10) times the main gun is fired, trigger Full Barrage - Mahan Class I (II).</t>
  </si>
  <si>
    <t xml:space="preserve">Recommissioned</t>
  </si>
  <si>
    <t xml:space="preserve">Cassin Kai</t>
  </si>
  <si>
    <t xml:space="preserve">Chang Chun</t>
  </si>
  <si>
    <t xml:space="preserve">Increase Firepower, Reload and Accuracy by 4.5% (12%) for all North Union and Eastern Radiance ships in Escort fleet.</t>
  </si>
  <si>
    <t xml:space="preserve">Every 15 (10) times the main battery is fired, trigger Full Barrage - Anshan Class I (II)</t>
  </si>
  <si>
    <t xml:space="preserve">Alliance and Mutual Assistance</t>
  </si>
  <si>
    <t xml:space="preserve">Charles Ausburne</t>
  </si>
  <si>
    <t xml:space="preserve">When firing main gun, 4% chance to increase Fleet's movement speed, and Escort Fleet's Evasion by 20% (40%) for 8 seconds.</t>
  </si>
  <si>
    <t xml:space="preserve">Every 20 seconds, 30% (60%) chance to increase own Firepower by 20% (40%) for 10 seconds.</t>
  </si>
  <si>
    <t xml:space="preserve">31-Knot Burke</t>
  </si>
  <si>
    <t xml:space="preserve">Full Firepower</t>
  </si>
  <si>
    <t xml:space="preserve">Comet</t>
  </si>
  <si>
    <t xml:space="preserve">C-Class Barrage</t>
  </si>
  <si>
    <t xml:space="preserve">Increase Torpedo stat of Destroyers in the fleet by 5% (15%). Does not stack with other command skills that have similar effect.</t>
  </si>
  <si>
    <t xml:space="preserve">Every 15 (10) times the main battery is fired, trigger Full Barrage - C-Class I (II)</t>
  </si>
  <si>
    <t xml:space="preserve">Torpedo Command - Destroyer</t>
  </si>
  <si>
    <t xml:space="preserve">Comet Kai</t>
  </si>
  <si>
    <t xml:space="preserve">After battle begins, and 15% (30%) chance to activate every 15 seconds after that: deploy a smokescreen for 5 seconds. Escort ships within the smokescreen have 20% (40%) additional Evasion Rate, does not stack with same skill effect.</t>
  </si>
  <si>
    <t xml:space="preserve">Cooper</t>
  </si>
  <si>
    <t xml:space="preserve">Allen Sumner-Class Barrage</t>
  </si>
  <si>
    <t xml:space="preserve">Every 20s: increases this ship's FP by 5.0% (15.0%) for 10s, reveals the location of all enemy SSs for 10s, and launches an ASW seaplane airstrike.
Once per battle, if this ship has the Consolidated PBY-5A Catalina equipped when its HP falls below 40.0%: launches a special seaplane airstrike. ASW and Airstrike DMG is based on the skill's level.</t>
  </si>
  <si>
    <t xml:space="preserve">Activates All Out Assault Ⅱ: Allen M. Sumner-class once every 10 times the Main Guns are fired.</t>
  </si>
  <si>
    <t xml:space="preserve">Black Cat Cyclone</t>
  </si>
  <si>
    <t xml:space="preserve">Craven</t>
  </si>
  <si>
    <t xml:space="preserve">Gridley-Class Barrage</t>
  </si>
  <si>
    <t xml:space="preserve">Every 15 (10) times the main gun is fired, trigger Full Barrage - Gridley Class I (II).</t>
  </si>
  <si>
    <t xml:space="preserve">Crescent</t>
  </si>
  <si>
    <t xml:space="preserve">Crescent Kai</t>
  </si>
  <si>
    <t xml:space="preserve">After battle begins, and 15% (30%) chance to activate every 15 seconds after that: deploys a smokescreen for 5 seconds. Escort ships within the smokescreen have 20% (40%) additional Evasion Rate, does not stack with same skill effect.</t>
  </si>
  <si>
    <t xml:space="preserve">Cygnet</t>
  </si>
  <si>
    <t xml:space="preserve">Cygnet Kai</t>
  </si>
  <si>
    <t xml:space="preserve">Dewey</t>
  </si>
  <si>
    <t xml:space="preserve">While alive in the fleet, decreases damage taken by allied CVs/CVLs by 5% (10%). When sortieing with Gridley, increases own Firepower by 5% (15%) and increases Gridley's Firepower and Reload by 5% (15%).</t>
  </si>
  <si>
    <t xml:space="preserve">Comrades From the Far East</t>
  </si>
  <si>
    <t xml:space="preserve">Downes</t>
  </si>
  <si>
    <t xml:space="preserve">Downes Kai</t>
  </si>
  <si>
    <t xml:space="preserve">Echo</t>
  </si>
  <si>
    <t xml:space="preserve">NA</t>
  </si>
  <si>
    <t xml:space="preserve">While alive in fleet, reduce damage taken by allied BBs/BCs by 5% (15%). Does not stack with the same skill.</t>
  </si>
  <si>
    <t xml:space="preserve">Every 15 (10) times the main battery is fired, trigger Full Barrage - E-Class I (II)</t>
  </si>
  <si>
    <t xml:space="preserve">Battleship Escort</t>
  </si>
  <si>
    <t xml:space="preserve">Eldridge</t>
  </si>
  <si>
    <t xml:space="preserve">Eldridge-Exclusive Barrage</t>
  </si>
  <si>
    <t xml:space="preserve">When taking damage: Escort Fleet has 15% chance to evade all incoming attacks for 5 (10) seconds (Has a 20 second cooldown. Skill starts on cooldown.)</t>
  </si>
  <si>
    <t xml:space="preserve">Every 15 (10) times the main battery is fired, triggers Full Barrage - Eldridge I (II)</t>
  </si>
  <si>
    <t xml:space="preserve">Operation Rainbow</t>
  </si>
  <si>
    <t xml:space="preserve">Eskimo</t>
  </si>
  <si>
    <t xml:space="preserve">Tribal-Class Barrage</t>
  </si>
  <si>
    <t xml:space="preserve">EskimoBarrage</t>
  </si>
  <si>
    <t xml:space="preserve">Fletcher</t>
  </si>
  <si>
    <t xml:space="preserve">In combat, increases Firepower and Evasion of all Fletcher-class destroyers in the fleet by 10% (30%).</t>
  </si>
  <si>
    <t xml:space="preserve">Increases Firepower, Torpedo stat, and Reload of all Destroyers in the fleet by 1% (10%). Does not stack with other command skills that have similar effect.</t>
  </si>
  <si>
    <t xml:space="preserve">Every 15 (10) times the main battery is fired, triggers Full Barrage - Fletcher Class I (II).</t>
  </si>
  <si>
    <t xml:space="preserve">Sisterly Temperament</t>
  </si>
  <si>
    <t xml:space="preserve">Tactical Command - Destroyer</t>
  </si>
  <si>
    <t xml:space="preserve">Foote</t>
  </si>
  <si>
    <t xml:space="preserve">Forbin</t>
  </si>
  <si>
    <t xml:space="preserve">FFN </t>
  </si>
  <si>
    <t xml:space="preserve">L'Adroit-Class Barrage</t>
  </si>
  <si>
    <t xml:space="preserve">If Escort fleet consists of only Iris Libre (FFNF) and Vichya Dominion (MNF) ships, every 20 seconds: 50% chance to decrease damage taken by entire fleet by 10% (30%) for 8 seconds. Does not stack with the same skill.</t>
  </si>
  <si>
    <t xml:space="preserve">Every 15 (10) times the main gun is fired, trigger Full Barrage - L'Adroit Class I (II).</t>
  </si>
  <si>
    <t xml:space="preserve">Chevalier's Bouclier</t>
  </si>
  <si>
    <t xml:space="preserve">Forbin Kai</t>
  </si>
  <si>
    <t xml:space="preserve">Fortune</t>
  </si>
  <si>
    <t xml:space="preserve">F-Class Barrage</t>
  </si>
  <si>
    <t xml:space="preserve">Every 15(10) shots from the main battery, trigger Full Barrage - F-Class I (II)</t>
  </si>
  <si>
    <t xml:space="preserve">Fortune Kai</t>
  </si>
  <si>
    <t xml:space="preserve">Reduce damage received by main fleet by 5% (15%). Does not stack with the same skill.</t>
  </si>
  <si>
    <t xml:space="preserve">Flank Coverage</t>
  </si>
  <si>
    <t xml:space="preserve">Foxhound</t>
  </si>
  <si>
    <t xml:space="preserve">Increase Reload of Destroyers in the fleet by 5% (15%). Does not stack with other command skills that have similar effect.</t>
  </si>
  <si>
    <t xml:space="preserve">Reload Command - Destroyer</t>
  </si>
  <si>
    <t xml:space="preserve">Foxhound Kai</t>
  </si>
  <si>
    <t xml:space="preserve">Reduce damage received by Main Fleet by 5% (15%). Does not stack with the same skill.</t>
  </si>
  <si>
    <t xml:space="preserve">Fu Shun</t>
  </si>
  <si>
    <t xml:space="preserve">Increase own main gun's critical rate by 5% (20%).</t>
  </si>
  <si>
    <t xml:space="preserve">Sharp Assault</t>
  </si>
  <si>
    <t xml:space="preserve">Fubuki</t>
  </si>
  <si>
    <t xml:space="preserve">Fubuki-Exclusive Barrage</t>
  </si>
  <si>
    <t xml:space="preserve">In battle, increases Firepower, Evasion by 15% (30%) and Torpedo by 4% (10%) for all Special Type (Tokugata) Destroyers in the same fleet.</t>
  </si>
  <si>
    <t xml:space="preserve">Every 15 (10) times the main battery is fired, triggers Full Barrage - Fubuki Class I (II)</t>
  </si>
  <si>
    <t xml:space="preserve">Special Lead Ship</t>
  </si>
  <si>
    <t xml:space="preserve">Fumizuki</t>
  </si>
  <si>
    <t xml:space="preserve">Mutsuki-Class Barrage</t>
  </si>
  <si>
    <t xml:space="preserve">Every 15 (10) shots from the main guns, trigger Full Barrage - Mutsuki-Class I (II)</t>
  </si>
  <si>
    <t xml:space="preserve">Glowworm</t>
  </si>
  <si>
    <t xml:space="preserve">Glowworm-Exclusive Barrage</t>
  </si>
  <si>
    <t xml:space="preserve">All Escort ships deal 50% (100%) more ramming damage and take 20% (30%) less damage from ramming.</t>
  </si>
  <si>
    <t xml:space="preserve">Every 15 (10) shots from the main battery, triggers Full Barrage - Glowworm I (II).</t>
  </si>
  <si>
    <t xml:space="preserve">Meteor Headbutt</t>
  </si>
  <si>
    <t xml:space="preserve">Grenville</t>
  </si>
  <si>
    <t xml:space="preserve">G-Class Barrage</t>
  </si>
  <si>
    <t xml:space="preserve">Increases Firepower of Destroyers in the same fleet by 5% (15%). Does not stack with other command skills that have similar effect.</t>
  </si>
  <si>
    <t xml:space="preserve">Every 15 (10) times the main battery is fired, triggers Full Barrage - G-Class I (II)</t>
  </si>
  <si>
    <t xml:space="preserve">Artillery Command - Destroyer</t>
  </si>
  <si>
    <t xml:space="preserve">Gridley</t>
  </si>
  <si>
    <t xml:space="preserve">Every 15 (10) times the main battery is fired, triggers Full Barrage - Gridley Class I (II)</t>
  </si>
  <si>
    <t xml:space="preserve">Grozny</t>
  </si>
  <si>
    <t xml:space="preserve">NU</t>
  </si>
  <si>
    <t xml:space="preserve">Gnevny-Class Barrage</t>
  </si>
  <si>
    <t xml:space="preserve">Every 20s: 30.0% (60.0%) chance to increase this ship's FP by 20.0% (40.0%) for 10s.</t>
  </si>
  <si>
    <t xml:space="preserve">Increases this ship's AA by 5% (15%).</t>
  </si>
  <si>
    <t xml:space="preserve">Activates All Out Assault Ⅱ: Gnevny once every 10 times the Main Guns are fired.</t>
  </si>
  <si>
    <t xml:space="preserve">Anti-Air Vigilance</t>
  </si>
  <si>
    <t xml:space="preserve">Halsey Powell</t>
  </si>
  <si>
    <t xml:space="preserve">After the start of the battle and every 30 seconds after that: increases this ship's AA and ASW by 5.0% (15.0%) for 20s.</t>
  </si>
  <si>
    <t xml:space="preserve">Every 15 (10) shots from the main battery, trigger Full Barrage - Fletcher-Class I (II)</t>
  </si>
  <si>
    <t xml:space="preserve">Comprehensive Defense</t>
  </si>
  <si>
    <t xml:space="preserve">Hamakaze</t>
  </si>
  <si>
    <t xml:space="preserve">Kagerou-Class Barrage</t>
  </si>
  <si>
    <t xml:space="preserve">When an allied ship's HP falls to 0: 30.0% (60.0%) chance to heal self by 3.5% (8.0%) of own max HP and other allied ships' HP by 1.2% (3.0%) of their max HP.</t>
  </si>
  <si>
    <t xml:space="preserve">Every 15 (10) times the main battery is fired, trigger Full Barrage - Kagerou Class I (II)</t>
  </si>
  <si>
    <t xml:space="preserve">Rescue Operations</t>
  </si>
  <si>
    <t xml:space="preserve">Hamakaze Kai</t>
  </si>
  <si>
    <t xml:space="preserve">Hammann</t>
  </si>
  <si>
    <t xml:space="preserve">Sims-Class Barrage</t>
  </si>
  <si>
    <t xml:space="preserve">Reduces damage taken by Flagship by 15% (25%).</t>
  </si>
  <si>
    <t xml:space="preserve">Every 15 (10) times the main gun is fired, trigger Full Barrage - Sims Class I (II)</t>
  </si>
  <si>
    <t xml:space="preserve">Hammann Kai</t>
  </si>
  <si>
    <t xml:space="preserve">When firing Anti-Air Guns: 25% chance to increase own Anti-Air by 20% (40%), and decrease own Firepower by 40% (20%) for 3 seconds.</t>
  </si>
  <si>
    <t xml:space="preserve">Anti-Air Mode</t>
  </si>
  <si>
    <t xml:space="preserve">Hanazuki</t>
  </si>
  <si>
    <t xml:space="preserve">Eltie</t>
  </si>
  <si>
    <t xml:space="preserve">Akizuki-Class Barrage</t>
  </si>
  <si>
    <t xml:space="preserve">When an enemy aircraft is shot down within your fleet's Anti-Air Gun range: increases this ship's FP and AA by 5.0% (25.0%) for 8s. Effect does not stack, but shooting down additional aircraft will refresh its duration.</t>
  </si>
  <si>
    <t xml:space="preserve">Every 24 (16) shots from the main battery, triggers Full Barrage - Akizuki Class I (II)</t>
  </si>
  <si>
    <t xml:space="preserve">Aerial Support</t>
  </si>
  <si>
    <t xml:space="preserve">Hardy</t>
  </si>
  <si>
    <t xml:space="preserve">H-Class Barrage</t>
  </si>
  <si>
    <t xml:space="preserve">Star of the Fjords N</t>
  </si>
  <si>
    <t xml:space="preserve">Star of the Fjords TP</t>
  </si>
  <si>
    <t xml:space="preserve">During sortie, increases own Torpedo critical hit chance by 10% (30%). Increases own damage dealt to Destroyers by 5% (15%) and Torpedo stat for all Royal Navy Destroyers by 4.5% (12%).</t>
  </si>
  <si>
    <t xml:space="preserve">Once per battle, when launching the first wave of torpedoes: launches a special barrage (damage is based on skill level).</t>
  </si>
  <si>
    <t xml:space="preserve">Every 15 (10) shots from the main gun, triggers Full Barrage - H-Class I (II).</t>
  </si>
  <si>
    <t xml:space="preserve">Ice-free Port's Concerto</t>
  </si>
  <si>
    <t xml:space="preserve">The Star of Fjord</t>
  </si>
  <si>
    <t xml:space="preserve">Harutsuki</t>
  </si>
  <si>
    <t xml:space="preserve">When enemy planes are shot down within own AA range: increases own Firepower and Anti-Air by 5% (25%) for 8 seconds. If skill is activated again during said 8 seconds, refreshes the buff duration.</t>
  </si>
  <si>
    <t xml:space="preserve">Hatakaze</t>
  </si>
  <si>
    <t xml:space="preserve">Kamikaze-Class Barrage</t>
  </si>
  <si>
    <t xml:space="preserve">While alive in fleet, reduces damage received by main fleet by 3.5% (8%). Additionally, reduces Light Cruisers' and Destroyers' gun and torpedo damage dealt to Hatakaze by 1% (10%).</t>
  </si>
  <si>
    <t xml:space="preserve">Every 15 (10) times the main battery is fired, triggers Full Barrage - Kamikaze-class I (II)</t>
  </si>
  <si>
    <t xml:space="preserve">Mobile Fleet's Vanguard</t>
  </si>
  <si>
    <t xml:space="preserve">Hatsuharu</t>
  </si>
  <si>
    <t xml:space="preserve">Every 15 (10) times the main battery is fired, triggers Full Barrage - Hatsuharu Class I (II)</t>
  </si>
  <si>
    <t xml:space="preserve">Hatsuharu Kai</t>
  </si>
  <si>
    <t xml:space="preserve">Increases Torpedo stat of Destroyers in the fleet by 5% (15%). Does not stack with other command skills that have similar effect.</t>
  </si>
  <si>
    <t xml:space="preserve">Hatsushimo</t>
  </si>
  <si>
    <t xml:space="preserve">Hatsushimo Kai</t>
  </si>
  <si>
    <t xml:space="preserve">Hazelwood</t>
  </si>
  <si>
    <t xml:space="preserve">Hibiki</t>
  </si>
  <si>
    <t xml:space="preserve">When this ship fires its torpedoes: 15.0% (30.0%) chance to launch a second wave of torpedoes. Once per battle, when this ship's HP drops below 20.0%: restores 10.0% (20.0%) of this ship's max HP.</t>
  </si>
  <si>
    <t xml:space="preserve">When sortied with Akatsuki, Ikazuchi, or Inazuma: increases this ship's FP, TRP, and RLD by 5.0% (15.0%). Effect does not stack.</t>
  </si>
  <si>
    <t xml:space="preserve">Every 15 (10) shots from the main battery, triggers Full Barrage - Akatsuki Class I (II)</t>
  </si>
  <si>
    <t xml:space="preserve">Phoenix's Plumage</t>
  </si>
  <si>
    <t xml:space="preserve">Destroyer Division 6: Hibiki</t>
  </si>
  <si>
    <t xml:space="preserve">Hobby</t>
  </si>
  <si>
    <t xml:space="preserve">15 seconds after battle begins, increases Firepower, Reload and Evasion for all ships in the fleet by 1.5% (6%) for 20 seconds.</t>
  </si>
  <si>
    <t xml:space="preserve">Every 15 (10) times the main battery is fired, trigger Full Barrage - Benson Class I (II)</t>
  </si>
  <si>
    <t xml:space="preserve">Little Star</t>
  </si>
  <si>
    <t xml:space="preserve">Hunter</t>
  </si>
  <si>
    <t xml:space="preserve">At the beginning of battle, increase own Firepower and Torpedo stat by 9% (24%). Every 12 seconds after, decrease own Firepower and Torpedo stat by 3% (8%), which can be stacked 3 times.</t>
  </si>
  <si>
    <t xml:space="preserve">Every 15 (10) shots from the main gun, trigger Full Barrage - H-Class I (II).</t>
  </si>
  <si>
    <t xml:space="preserve">Emergent Preparation</t>
  </si>
  <si>
    <t xml:space="preserve">Icarus</t>
  </si>
  <si>
    <t xml:space="preserve">I-Class Barrage</t>
  </si>
  <si>
    <t xml:space="preserve">Icarus Skill 1</t>
  </si>
  <si>
    <t xml:space="preserve">Icarus Skill 2</t>
  </si>
  <si>
    <t xml:space="preserve">Ikazuchi</t>
  </si>
  <si>
    <t xml:space="preserve">DesDiv 6's Elite - Ikazuchi</t>
  </si>
  <si>
    <t xml:space="preserve">Inazuma</t>
  </si>
  <si>
    <t xml:space="preserve">Isokaze</t>
  </si>
  <si>
    <t xml:space="preserve">If in same fleet with Hamakaze, increase own Firepower, Torpedo stat, Reload, and Anti-Air by 4% (10%).</t>
  </si>
  <si>
    <t xml:space="preserve">Winds of Companion</t>
  </si>
  <si>
    <t xml:space="preserve">Javelin</t>
  </si>
  <si>
    <t xml:space="preserve">Javelin-Exclusive Barrage</t>
  </si>
  <si>
    <t xml:space="preserve">When firing main gun, 5% chance to increase own Evasion by 30% (60%) for 8 seconds.</t>
  </si>
  <si>
    <t xml:space="preserve">Every 15 (10) times the main battery is fired, triggers Full Barrage - Javelin I (II)</t>
  </si>
  <si>
    <t xml:space="preserve">Javelin Raid</t>
  </si>
  <si>
    <t xml:space="preserve">Javelin Kai</t>
  </si>
  <si>
    <t xml:space="preserve">Attack Mode - EX AP</t>
  </si>
  <si>
    <t xml:space="preserve">Attack Mode - EX TP</t>
  </si>
  <si>
    <t xml:space="preserve">Every 20 seconds, 40% (70%) chance to increase own Torpedo stat by 30% for 5 seconds and release a powerful barrage, while launching a tight fan-spread of fast torpedoes.</t>
  </si>
  <si>
    <t xml:space="preserve">Attack Mode-EX</t>
  </si>
  <si>
    <t xml:space="preserve">Jenkins</t>
  </si>
  <si>
    <t xml:space="preserve">Jersey</t>
  </si>
  <si>
    <t xml:space="preserve">J-Class Barrage</t>
  </si>
  <si>
    <t xml:space="preserve">When sortie with other J-Class destroyers in same fleet, reduce damage taken by other J-Class destroyers by 8% (20%), and take 8% (20%) more damage.</t>
  </si>
  <si>
    <t xml:space="preserve">Every 15 (10) shots from the main battery, trigger Full Barrage - J-Class I (II)</t>
  </si>
  <si>
    <t xml:space="preserve">Dark Side of Fate</t>
  </si>
  <si>
    <t xml:space="preserve">Juno</t>
  </si>
  <si>
    <t xml:space="preserve">After battle begins, and 15% (30%) chance to activate every 15 seconds after that: deploy a smokescreen for 5 seconds. Escort ships within the smokescreen have 20% (40%) additional evasion rate, does not stack with same skill effect.</t>
  </si>
  <si>
    <t xml:space="preserve">Jupiter</t>
  </si>
  <si>
    <t xml:space="preserve">When alive in fleet, reduce damage taken by allied BBs/BCs by 5% (15%). Does not stack with the same skill.</t>
  </si>
  <si>
    <t xml:space="preserve">Kagerou</t>
  </si>
  <si>
    <t xml:space="preserve">Increase Torpedo stat of all ships in the Escort fleet by 5% (15%). Does not stack with other command skills that have similar effect.</t>
  </si>
  <si>
    <t xml:space="preserve">Every 15 (10) times the main battery is fired, triggers Full Barrage - Kagerou Class I (II)</t>
  </si>
  <si>
    <t xml:space="preserve">Torpedo Command - Vanguard	</t>
  </si>
  <si>
    <t xml:space="preserve">Kagerou Kai</t>
  </si>
  <si>
    <t xml:space="preserve">25% chance to activate every 20 seconds: reduce a random enemy's Reload by 30% and damage by 15% for 5 (10) seconds. Effect prioritizes Elite (human-form) enemies. Does not stack with the same skill.</t>
  </si>
  <si>
    <t xml:space="preserve">Torpedo Command - Vanguard</t>
  </si>
  <si>
    <t xml:space="preserve">Kalk</t>
  </si>
  <si>
    <t xml:space="preserve">When launching torpedoes, 20% (40%) chance to evade all attacks for 5 seconds.</t>
  </si>
  <si>
    <t xml:space="preserve">Every 15 (10) times the main gun is fired, trigger Full Barrage - Benson-class I (II)</t>
  </si>
  <si>
    <t xml:space="preserve">Wind's Protection</t>
  </si>
  <si>
    <t xml:space="preserve">Kamikaze</t>
  </si>
  <si>
    <t xml:space="preserve">When firing main gun, 4% chance to increase own Evasion by 20% (50%) for 8 seconds.</t>
  </si>
  <si>
    <t xml:space="preserve">Every 15 (10) times the main battery is fired, triggers Full Barrage - Kamikaze-Class I (II)</t>
  </si>
  <si>
    <t xml:space="preserve">Veteran Destroyer</t>
  </si>
  <si>
    <t xml:space="preserve">Kamikaze Kai</t>
  </si>
  <si>
    <t xml:space="preserve">10% (30%) to activate upon receiving a torpedo hit/miss: For 4 seconds, decreases Torpedo damage taken by 20% (50%) and increase own Torpedo stat by 20% (50%).</t>
  </si>
  <si>
    <t xml:space="preserve">First Destroyer</t>
  </si>
  <si>
    <t xml:space="preserve">Kasumi</t>
  </si>
  <si>
    <t xml:space="preserve">At the start of the battle, if your Vanguard has no fewer than 3 ships: increases the TRP stat of your Sakura Empire Vanguard ships by 5.0% (15.0%).</t>
  </si>
  <si>
    <t xml:space="preserve">Every 20s: 15.0% (30.0%) chance for this ship to evade all enemy attacks for 6s.</t>
  </si>
  <si>
    <t xml:space="preserve">Foo and Friends</t>
  </si>
  <si>
    <t xml:space="preserve">Emergency Maneuvers</t>
  </si>
  <si>
    <t xml:space="preserve">Kawakaze</t>
  </si>
  <si>
    <t xml:space="preserve">Kawakaze-Exclusive Barrage N</t>
  </si>
  <si>
    <t xml:space="preserve">Kawakaze-Exclusive Barrage TP</t>
  </si>
  <si>
    <t xml:space="preserve">During sortie, increases damage dealt to cruisers by all allied IJN(Sakura Empire) Destroyers by 5% (15%).</t>
  </si>
  <si>
    <t xml:space="preserve">Torpedo damage is not affected by enemy's armor type; torpedoes always inflict 100% (115%) damage to all enemies.</t>
  </si>
  <si>
    <t xml:space="preserve">Lunga Point's Strike</t>
  </si>
  <si>
    <t xml:space="preserve">Piercing Torpedo Strike</t>
  </si>
  <si>
    <t xml:space="preserve">Kimberly</t>
  </si>
  <si>
    <t xml:space="preserve">Every 15 (10) times the main battery is fired, trigger Full Barrage - Fletcher-Class I (II)</t>
  </si>
  <si>
    <t xml:space="preserve">Kisaragi</t>
  </si>
  <si>
    <t xml:space="preserve">Kisaragi Kai</t>
  </si>
  <si>
    <t xml:space="preserve">P009</t>
  </si>
  <si>
    <t xml:space="preserve">Kitakaze</t>
  </si>
  <si>
    <t xml:space="preserve">Priority</t>
  </si>
  <si>
    <t xml:space="preserve">Kitakaze-Exclusive Barrage HE</t>
  </si>
  <si>
    <t xml:space="preserve">Kitakaze-Exclusive Barrage TP</t>
  </si>
  <si>
    <t xml:space="preserve">Ryu-style Six Lotus Torpedoes</t>
  </si>
  <si>
    <t xml:space="preserve">Main Gun damage is not affected by enemy's armor type; Main Gun always inflict 100% (115%) damage to all enemies. If equipped with an IJN(Sakura Empire) DD Gun: increases Main Gun efficiency by 5% (15%).</t>
  </si>
  <si>
    <t xml:space="preserve">If placed in the leftmost position in the Vanguard Fleet, 10 seconds after battle starts: launches a torpedo barrage. Whenever own torpedoes hit 10 times (excluding the ones from barrages): launches the same barrage.</t>
  </si>
  <si>
    <t xml:space="preserve">Increases own damage dealt to Sirens by 5% (15%).</t>
  </si>
  <si>
    <t xml:space="preserve">Every 24 (16) shots from the main guns: triggers Full Barrage - Kitakaze I (II)</t>
  </si>
  <si>
    <t xml:space="preserve">Kitakaze Style - Unanimous Slash</t>
  </si>
  <si>
    <t xml:space="preserve">Kitakaze Style - Six Lotus Torpedoes</t>
  </si>
  <si>
    <t xml:space="preserve">Siren's Nemesis</t>
  </si>
  <si>
    <t xml:space="preserve">Kiyonami</t>
  </si>
  <si>
    <t xml:space="preserve">Yuugumo-Class Barrage</t>
  </si>
  <si>
    <t xml:space="preserve">Lightning Strikes Twice</t>
  </si>
  <si>
    <t xml:space="preserve">Every 20 seconds: 30% (60%) chance to increase own Firepower by 20% (40%) for 10 seconds.</t>
  </si>
  <si>
    <t xml:space="preserve">10 seconds after battle starts and 15% (25%) chance to activate every 20 seconds after that: fires a wave of torpedoes (These torpedoes are based on the equipped Torpedo Mount).</t>
  </si>
  <si>
    <t xml:space="preserve">Every 15 (10) times the main battery is fired, triggers Full Barrage - Yuugumo-class I (II)</t>
  </si>
  <si>
    <t xml:space="preserve">C041</t>
  </si>
  <si>
    <t xml:space="preserve">Kizuna Ai</t>
  </si>
  <si>
    <t xml:space="preserve">Ai</t>
  </si>
  <si>
    <t xml:space="preserve">Crisis Prevention</t>
  </si>
  <si>
    <t xml:space="preserve">Every 20 seconds: performs super A.I. hacking to decrease all enemies' Firepower, Torpedo stat, and Air Power by a large amount (up to 4.0% (8.0%)) for 8 seconds... Also has a small chance to accidentally increase the stats of all enemies instead.</t>
  </si>
  <si>
    <t xml:space="preserve">Upon taking damage: 4.5% (12.0%) chance to fire a special torpedo barrage and avoid all enemy attacks for 3 seconds. Once the effect ends: increases own Evasion by 20% (40%) for 3 seconds.</t>
  </si>
  <si>
    <t xml:space="preserve">Kizuna Beam</t>
  </si>
  <si>
    <t xml:space="preserve">Crisis Prevention!</t>
  </si>
  <si>
    <t xml:space="preserve">Kuroshio</t>
  </si>
  <si>
    <t xml:space="preserve">Laffey-Exclusive Barrage</t>
  </si>
  <si>
    <t xml:space="preserve">When firing main gun, 5% chance to increase own Firepower, Reload, and Evasion by 20% (40%) for 8 seconds.</t>
  </si>
  <si>
    <t xml:space="preserve">Every 15 (10) times the main battery is fired, triggers Full Barrage - Laffey I (II)</t>
  </si>
  <si>
    <t xml:space="preserve">Solomon Wargod</t>
  </si>
  <si>
    <t xml:space="preserve">Laffey Kai</t>
  </si>
  <si>
    <t xml:space="preserve">Termination Mode AP</t>
  </si>
  <si>
    <t xml:space="preserve">Termination Mode TP</t>
  </si>
  <si>
    <t xml:space="preserve">Every 20 seconds, 40% (70%) chance to increase own Reload stat by 200% for 10 seconds and release a powerful barrage, while firing a machine-gun burst of fast torpedoes.</t>
  </si>
  <si>
    <t xml:space="preserve">Termination Mode</t>
  </si>
  <si>
    <t xml:space="preserve">Le Malin</t>
  </si>
  <si>
    <t xml:space="preserve">VFN </t>
  </si>
  <si>
    <t xml:space="preserve">Le Malin-Exclusive Barrage N</t>
  </si>
  <si>
    <t xml:space="preserve">Le Malin-Exclusive Barrage TP</t>
  </si>
  <si>
    <t xml:space="preserve">Every 10 times own Main Gun hits the same enemy: increases own damage dealt to that enemy by 4.5% (12%). Upon destroying an enemy: increases own Firepower by 0.5% (2%); effect can stack up to 10 times.</t>
  </si>
  <si>
    <t xml:space="preserve">After battle starts, increases own Torpedo stat and Evasion by 5% (20%) for 30 seconds, then decreases the buff to 0% during the next 20 seconds.</t>
  </si>
  <si>
    <t xml:space="preserve">Every 15 (10) shots from the main gun, triggers Full Barrage - Le Malin I (II).</t>
  </si>
  <si>
    <t xml:space="preserve">Gassing Breath</t>
  </si>
  <si>
    <t xml:space="preserve">Excitatory Poison</t>
  </si>
  <si>
    <t xml:space="preserve">Le Mars</t>
  </si>
  <si>
    <t xml:space="preserve">If Escort fleet consists of only Iris Libre (FFNF) and Vichya Dominion (MNF) ships, every 20 seconds: 50% chance to increase entire fleet's damage by 5% (25%) for 8 seconds. Does not stack with the same skill.</t>
  </si>
  <si>
    <t xml:space="preserve">Chevalier's Sabre</t>
  </si>
  <si>
    <t xml:space="preserve">Le Mars Kai</t>
  </si>
  <si>
    <t xml:space="preserve">Le Temeraire</t>
  </si>
  <si>
    <t xml:space="preserve">Le Hardi-Class Barrage</t>
  </si>
  <si>
    <t xml:space="preserve">When sortieing as Lead Ship, decreases own Anti-Air by 40% and Accuracy by 20% (5%) while increasing own Evasion by 6% (12%), Firepower by 13% (25%) and Speed by 3.</t>
  </si>
  <si>
    <t xml:space="preserve">While alive in fleet, reduces damage received by the main fleet by 3.5% (8%); reduces own damage received from Destroyers' and Light Cruisers' guns and torpedoes by 1% (10%).</t>
  </si>
  <si>
    <t xml:space="preserve">Every 15 (10) times the main gun is fired, triggers Full Barrage - Le Hardi Class I (II)</t>
  </si>
  <si>
    <t xml:space="preserve">Berserk Shooter</t>
  </si>
  <si>
    <t xml:space="preserve">Evasive Escort</t>
  </si>
  <si>
    <t xml:space="preserve">Le Triomphant</t>
  </si>
  <si>
    <t xml:space="preserve">Le Triomphant-Exclusive Barrage W</t>
  </si>
  <si>
    <t xml:space="preserve">Le Triomphant-Exclusive Barrage B</t>
  </si>
  <si>
    <t xml:space="preserve">Le Triomphant-Exclusive Barrage R</t>
  </si>
  <si>
    <t xml:space="preserve">Le Triomphant-Exclusive Barrage TP</t>
  </si>
  <si>
    <t xml:space="preserve">When main gun damages the same target, own Reload is increased by 20% (40%). Can be stacked up to 4 times; skill can only be activated every 1 second. If target is switched, the buff is canceled.</t>
  </si>
  <si>
    <t xml:space="preserve">When sortieing as Lead Ship, own main gun efficiency is increased by 5% (20%) and Anti-Air gun efficiency is decreased by 30%.</t>
  </si>
  <si>
    <t xml:space="preserve">Every 15 (10) times the main gun is fired, triggers Full Barrage - Le Fantasque Class I (II).</t>
  </si>
  <si>
    <t xml:space="preserve">Shiny Iris</t>
  </si>
  <si>
    <t xml:space="preserve">Offensive Configuration</t>
  </si>
  <si>
    <t xml:space="preserve">L'Opiniatre</t>
  </si>
  <si>
    <t xml:space="preserve">FFN</t>
  </si>
  <si>
    <t xml:space="preserve">When own Health falls under 80%: increases own Firepower and Torpedo stat by up to 20 (40), based on remaining Health. When own Health falls under 30%: increases own Anti-Air by 6% (12%) for the rest of the battle.</t>
  </si>
  <si>
    <t xml:space="preserve">While alive in fleet, reduces damage taken by Main Fleet by 3.5% (8%). Additionally, reduces light cruisers' and destroyers' gun and torpedo damage taken by self by 1% (10%). Does not stack with similar skill effects.</t>
  </si>
  <si>
    <t xml:space="preserve">A Witch Who Never Admits Defeat</t>
  </si>
  <si>
    <t xml:space="preserve">Makinami</t>
  </si>
  <si>
    <t xml:space="preserve">Every 15 (10) times the main battery is fired, triggers Full Barrage - Yuugumo Class I (II)</t>
  </si>
  <si>
    <t xml:space="preserve">Matchless</t>
  </si>
  <si>
    <t xml:space="preserve">M-Class Barrage</t>
  </si>
  <si>
    <t xml:space="preserve">When own torpedoes hit a target: 7% (17%) chance to increase Torpedo damage dealt to targeted enemy ship by 20% (40%) for 8 seconds (Effect does not overlap).</t>
  </si>
  <si>
    <t xml:space="preserve">Every 20 seconds: 25% chance to reduce a random enemy's Reload and damage for 5 (10)s. Effect prioritizes elite (human-form) enemies. Does not stack with the same skill.</t>
  </si>
  <si>
    <t xml:space="preserve">Every 15 (10) times the main battery is fired, triggers Full Barrage - M Class I (II)</t>
  </si>
  <si>
    <t xml:space="preserve">Target Designator - Torpedo</t>
  </si>
  <si>
    <t xml:space="preserve">Matsukaze</t>
  </si>
  <si>
    <t xml:space="preserve">Matsukaze Kai</t>
  </si>
  <si>
    <t xml:space="preserve">Maury</t>
  </si>
  <si>
    <t xml:space="preserve">Every 10 seconds, 20% (40%) chance to increase own Evasion by 30% (60%) for 8 seconds.</t>
  </si>
  <si>
    <t xml:space="preserve">Aquatic Hurricane</t>
  </si>
  <si>
    <t xml:space="preserve">McCall</t>
  </si>
  <si>
    <t xml:space="preserve">Every 15 (10) times the main gun is fired, triggers Full Barrage - Gridley Class I (II).</t>
  </si>
  <si>
    <t xml:space="preserve">Michishio</t>
  </si>
  <si>
    <t xml:space="preserve">Every 15 (10) times the main battery is fired, trigger Full Barrage - Asashio Class I (II)</t>
  </si>
  <si>
    <t xml:space="preserve">Mikazuki</t>
  </si>
  <si>
    <t xml:space="preserve">Minazuki</t>
  </si>
  <si>
    <t xml:space="preserve">Minsk</t>
  </si>
  <si>
    <t xml:space="preserve">Leningrad-Class Barrage</t>
  </si>
  <si>
    <t xml:space="preserve">Decreases this ship's DMG taken from enemy DD guns and torpedoes by 5.0% (10.0%). Every 20s: increases this ship's Speed by 5 and FP by 5.0% (20.0%) for 10s.</t>
  </si>
  <si>
    <t xml:space="preserve">After the battle begins and 15.0% (30.0%) chance every 15s after that: deploys a smokescreen that increases Evasion Rate by 20.0% (40.0%) for all your ships in it. Does not stack with other smokescreen skills. Smokescreen lasts 5s.</t>
  </si>
  <si>
    <t xml:space="preserve">Activates All Out Assault Ⅱ: Minsk once every 10 times the Main Guns are fired.</t>
  </si>
  <si>
    <t xml:space="preserve">Mobility Mastery</t>
  </si>
  <si>
    <t xml:space="preserve">Mullany</t>
  </si>
  <si>
    <t xml:space="preserve">Decreases Burn damage taken by self by 5% (15%) and Burn duration by 3 seconds. Once per battle, if Health is below 25%, upon taking damage: increases own Evasion Rate by 10% (30%) for 10 seconds.</t>
  </si>
  <si>
    <t xml:space="preserve">Every 15 (10) times the main gun is fired, trigger Full Barrage - Fletcher Class I (II)</t>
  </si>
  <si>
    <t xml:space="preserve">A Miracle in the Flame</t>
  </si>
  <si>
    <t xml:space="preserve">Musketeer</t>
  </si>
  <si>
    <t xml:space="preserve">Every 20 seconds, increases own torpedo damage by 4.5% (12%). Can be stacked up to 8 times.</t>
  </si>
  <si>
    <t xml:space="preserve">Every 15 (10) times the main battery is fired, triggera Full Barrage - M Class I (II)</t>
  </si>
  <si>
    <t xml:space="preserve">Deviated Shooting Correction</t>
  </si>
  <si>
    <t xml:space="preserve">Mutsuki</t>
  </si>
  <si>
    <t xml:space="preserve">Every 15 (10) shots from the main guns, triggers Full Barrage - Mutsuki-Class I (II)</t>
  </si>
  <si>
    <t xml:space="preserve">Mutsuki Kai</t>
  </si>
  <si>
    <t xml:space="preserve">Naganami</t>
  </si>
  <si>
    <t xml:space="preserve">10s after the battle starts and with a 15.0% (25.0%) chance every 20s after that: fires a wave of torpedoes. (Which torpedoes are fired are based on this ship's equipped Torpedoes.)</t>
  </si>
  <si>
    <t xml:space="preserve">At the start of the battle, if there are 3 ships afloat in your Vanguard and this ship is in the center of it: increase TRP by 5.0% (15.0%) and Torpedo Crit Rate by 4.0% (10.0%) for your DDs and CLs, and also increases the EVA of your DDs by 5.0% (15.0%).</t>
  </si>
  <si>
    <t xml:space="preserve">Legacy of Lunga Point</t>
  </si>
  <si>
    <t xml:space="preserve">Nagatsuki</t>
  </si>
  <si>
    <t xml:space="preserve">C054</t>
  </si>
  <si>
    <t xml:space="preserve">Natsuiro Matsuri</t>
  </si>
  <si>
    <t xml:space="preserve">Hololive</t>
  </si>
  <si>
    <t xml:space="preserve">The Summer Flower We Watch AP</t>
  </si>
  <si>
    <t xml:space="preserve">The Summer Flower We Watch HE</t>
  </si>
  <si>
    <t xml:space="preserve">Every 25 seconds, 40% (70%) to fire a special barrage.</t>
  </si>
  <si>
    <t xml:space="preserve">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</si>
  <si>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 xml:space="preserve">The Summer Flower We Watch</t>
  </si>
  <si>
    <t xml:space="preserve">The Third Day of Flirting</t>
  </si>
  <si>
    <t xml:space="preserve">C032</t>
  </si>
  <si>
    <t xml:space="preserve">Nekone</t>
  </si>
  <si>
    <t xml:space="preserve">Uta </t>
  </si>
  <si>
    <t xml:space="preserve">100 seconds after battle starts: increases Evasion of all ships in Escort Fleet by 3.5% (8%) and recovers HP of all ships in Escort Fleet by 4.5% (12%) of Nekone's total HP.</t>
  </si>
  <si>
    <t xml:space="preserve">Every 10 seconds, 50% (100%) chance to release a special barrage, which has chance to ignite (special barrage damage and form depend on skill level).</t>
  </si>
  <si>
    <t xml:space="preserve">White Rainbow</t>
  </si>
  <si>
    <t xml:space="preserve">Evening Star</t>
  </si>
  <si>
    <t xml:space="preserve">Nicholas</t>
  </si>
  <si>
    <t xml:space="preserve">When firing main gun, 5% chance to increase own Evasion stat by 16% (40%) and decrease air damage taken by 16% (40%) for 8 seconds.</t>
  </si>
  <si>
    <t xml:space="preserve">Every 15 (10) shots from the main battery, trigger Full Barrage - Fletcher Class I (II)</t>
  </si>
  <si>
    <t xml:space="preserve">The Nick</t>
  </si>
  <si>
    <t xml:space="preserve">Nicholas Kai</t>
  </si>
  <si>
    <t xml:space="preserve">Every 20 seconds, 40% (70%) chance to increase own Firepower, Torpedo, and Reload by 20% (40%) for 10 seconds. Once per battle, if an escort ship's Health falls below 20%, decrease the damage it takes by 5% (15%); If the ship is Helena, additionally heal 8% of Helena's max Health.</t>
  </si>
  <si>
    <t xml:space="preserve">Battle of Kula Gulf</t>
  </si>
  <si>
    <t xml:space="preserve">Niizuki</t>
  </si>
  <si>
    <t xml:space="preserve">Every 20 seconds, 25% chance to increase entire fleet's Reload by 5% (25%) for 8 seconds. Does not stack with the same skill.</t>
  </si>
  <si>
    <t xml:space="preserve">When firing Anti-Air Guns: 25% chance to increase own Anti-Air by 20% (40%) and decrease own Firepower by 40% (20%) for 3 seconds.</t>
  </si>
  <si>
    <t xml:space="preserve">Reload Order</t>
  </si>
  <si>
    <t xml:space="preserve">Nowaki</t>
  </si>
  <si>
    <t xml:space="preserve">Every 20 seconds, gain one of three random effect for 5 (10) seconds: 30% chance to get +30% evasion 30% chance to get +20% critical chance and +50% critical damage 40% chance to get +20% damage taken.</t>
  </si>
  <si>
    <t xml:space="preserve">Every 15 (10) times the main cannon is fired, trigger Full Barrage - Kagerou-class I (II)</t>
  </si>
  <si>
    <t xml:space="preserve">Gambler's Ship</t>
  </si>
  <si>
    <t xml:space="preserve">Ooshio</t>
  </si>
  <si>
    <t xml:space="preserve">Increase own Accuracy by 5% (20%) against enemy destroyers and decrease torpedo damage taken from enemy destroyers by 5% (20%).</t>
  </si>
  <si>
    <t xml:space="preserve">Every 15 (10) shots from the main battery, trigger Full Barrage - Asashio Class I (II)</t>
  </si>
  <si>
    <t xml:space="preserve">Oyashio</t>
  </si>
  <si>
    <t xml:space="preserve">Radford</t>
  </si>
  <si>
    <t xml:space="preserve">Shigure</t>
  </si>
  <si>
    <t xml:space="preserve">Shiratsuyu-Class Barrage</t>
  </si>
  <si>
    <t xml:space="preserve">Every 15 (10) times the main battery is fired, trigger Full Barrage - Shiratsuyu I (II)</t>
  </si>
  <si>
    <t xml:space="preserve">Shigure of Sasebo</t>
  </si>
  <si>
    <t xml:space="preserve">Shigure Kai</t>
  </si>
  <si>
    <t xml:space="preserve">Dance of Wind and Rain</t>
  </si>
  <si>
    <t xml:space="preserve">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</si>
  <si>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 xml:space="preserve">C051</t>
  </si>
  <si>
    <t xml:space="preserve">Shirakami Fubuki</t>
  </si>
  <si>
    <t xml:space="preserve">Mach 2.42 Blossom</t>
  </si>
  <si>
    <t xml:space="preserve">Dive Bomber slot is equipped with "Mach 2.42 Bermbew Sprawt" skin. Airstrike reload timer is increased by 100%. Every 20 seconds, calls in air support plane (damage scales with Torpedo stat and skill level).</t>
  </si>
  <si>
    <t xml:space="preserve">During battle, increases own Firepower stat by 5% (15%). After defeating 3 enemy nodes in a sortie, increases own Torpedo stat by 4.5% (12%).</t>
  </si>
  <si>
    <t xml:space="preserve">Two-Faced Fox</t>
  </si>
  <si>
    <t xml:space="preserve">Shiranui</t>
  </si>
  <si>
    <t xml:space="preserve">Every 15 (10) times the main battery is fired, trigger Full Barrage - Kagerou Class I (II).</t>
  </si>
  <si>
    <t xml:space="preserve">Shiranui Kai</t>
  </si>
  <si>
    <t xml:space="preserve">When alive in fleet, reduce damage taken by allied aircraft carriers and light aircraft carriers by 5% (15%). Does not stack with the same skill.</t>
  </si>
  <si>
    <t xml:space="preserve">Shiratsuyu</t>
  </si>
  <si>
    <t xml:space="preserve">Increases Torpedo stat of all ships in the escort fleet by 5% (15%). Does not stack with other command skills that have similar effect.</t>
  </si>
  <si>
    <t xml:space="preserve">Every 15 (10) times the main battery is fired, triggers Full Barrage - Shiratsuyu I (II)</t>
  </si>
  <si>
    <t xml:space="preserve">Sims</t>
  </si>
  <si>
    <t xml:space="preserve">Every 15 (10) times the main gun is fired, triggers Full Barrage - Sims Class I (II)</t>
  </si>
  <si>
    <t xml:space="preserve">Sims Kai</t>
  </si>
  <si>
    <t xml:space="preserve">After battle begins, and 15% (30%) chance to activate every 15 seconds after that: deploys a smokescreen for 5 seconds. Escort ships within the smokescreen have a 20% (40%) additional Evasion Rate. Does not stack with same skill effect.</t>
  </si>
  <si>
    <t xml:space="preserve">Smalley</t>
  </si>
  <si>
    <t xml:space="preserve">Flank Defense</t>
  </si>
  <si>
    <t xml:space="preserve">Spence</t>
  </si>
  <si>
    <t xml:space="preserve">Stanley</t>
  </si>
  <si>
    <t xml:space="preserve">When firing Anti-Air Guns, 25% chance to increase own Anti-Air by 20% (40%), and decrease own Firepower by 40% (20%) for 3 seconds.</t>
  </si>
  <si>
    <t xml:space="preserve">Every 15 (10) times the main battery is fired, triggers Full Barrage - Fletcher-class I (II).</t>
  </si>
  <si>
    <t xml:space="preserve">Suzutsuki</t>
  </si>
  <si>
    <t xml:space="preserve">Suzutsuki, Causing Confusion!</t>
  </si>
  <si>
    <t xml:space="preserve">Suzutsuki, Causing Confusion 2</t>
  </si>
  <si>
    <t xml:space="preserve">Suzutsuki-Exclusive Barrage</t>
  </si>
  <si>
    <t xml:space="preserve">Suzutsuki-Exclusive Barrage Torp</t>
  </si>
  <si>
    <t xml:space="preserve">At the start of the battle, for each Sakura Empire ship in the same fleet as this ship (including self), increase this ship's FP and AA by 1.0% (5.0%) until the end of the battle. For every two enemy aircraft shot down within your fleet's Anti-Air Gun range, gain another stack of this buff. This buff may stack up to 6 times.</t>
  </si>
  <si>
    <t xml:space="preserve">Three seconds after the start of the battle, fire a special barrage (damage based on skill level), and deploy a smokescreen that lasts for 5 seconds. Allied ships inside the smokescreen gain 20.0% (40.0%) evasion rate. Every 15 seconds after the start of the battle, fire the same barrage and 15.0% (30.0%) chance to deploy another smokescreen. Once per battle, when this ship's HP falls below 20%, heal this ship for 5.0% (15.0%) of its max HP.</t>
  </si>
  <si>
    <t xml:space="preserve">	Every 24 (16) shots from the main battery, triggers Full Barrage - Suzutsuki I (II).</t>
  </si>
  <si>
    <t xml:space="preserve">Suzutsuki, Breaking Through!</t>
  </si>
  <si>
    <t xml:space="preserve">Tai Yuan</t>
  </si>
  <si>
    <t xml:space="preserve">During sortie with 6 ships in the fleet, increase own Firepower, Reload by 10% (25%), and Evasion by 4% (10%).</t>
  </si>
  <si>
    <t xml:space="preserve">Every 15 (10) times the main battery is fired, trigger Full Barrage - Anshan-class I (II)</t>
  </si>
  <si>
    <t xml:space="preserve">United Front</t>
  </si>
  <si>
    <t xml:space="preserve">Tanikaze</t>
  </si>
  <si>
    <t xml:space="preserve">If Tanikaze is the only alive ship left of the Escort Fleet, increases own Evasion by 4% (10%) and reduce damage taken from airstrike by 30% (50%).</t>
  </si>
  <si>
    <t xml:space="preserve">Miracle Wind</t>
  </si>
  <si>
    <t xml:space="preserve">Tanikaze Kai</t>
  </si>
  <si>
    <t xml:space="preserve">Tartu</t>
  </si>
  <si>
    <t xml:space="preserve">Vauquelin-Class Barrage</t>
  </si>
  <si>
    <t xml:space="preserve">At the start of the battle, if there is an Iris Libre or Vichya Dominion CL or CA in your fleet: increases this ship's FP and EVA by 5% (15%), and increase FP and AA by 3.5% (8%) for all your Iris Libre and Vichya Dominion CLs and CAs.</t>
  </si>
  <si>
    <t xml:space="preserve">Activates All Out Assault Ⅰ (Ⅱ): Vauquelin-class once every 15 (10) times the Main Guns are fired</t>
  </si>
  <si>
    <t xml:space="preserve">Arbiter of Z</t>
  </si>
  <si>
    <t xml:space="preserve">Tashkent</t>
  </si>
  <si>
    <t xml:space="preserve">Tashkent-Exclusive Barrage</t>
  </si>
  <si>
    <t xml:space="preserve">The Blue Cruiser</t>
  </si>
  <si>
    <t xml:space="preserve">At the start of the battle: increases this ship's FP by 4.0% (10.0%) and spawns Snezhinka, a summon which fights for 20 (50)s and lowers the Speed of enemies hit by it by 1.5% stacking up to 15% for 4 seconds (its DMG dealt is based on skill level). Additionally, when this ship sinks an enemy: increases this ship's FP by 0.5% (2.0%) (can be stacked up to 5 times.)</t>
  </si>
  <si>
    <t xml:space="preserve">At the start of the battle, increases Main Gun Efficiency by 4.0% (10.0%) and Accuracy by 5.0% (15.0%) for all your Northern Parliament DDs that have a Northern Parliament Main Gun equipped.</t>
  </si>
  <si>
    <t xml:space="preserve">Activates All Out Assault Ⅰ (Ⅱ): Tashkent once every 15 (10) times the Main Guns are fired.</t>
  </si>
  <si>
    <t xml:space="preserve">Trajectory Marking</t>
  </si>
  <si>
    <t xml:space="preserve">Thatcher</t>
  </si>
  <si>
    <t xml:space="preserve">Trial Bullin MKII</t>
  </si>
  <si>
    <t xml:space="preserve">Universal </t>
  </si>
  <si>
    <t xml:space="preserve">Can be used as material to Limit Break any ship of Super Rare (SSR) quality.</t>
  </si>
  <si>
    <t xml:space="preserve">Remodel Girl Mk II</t>
  </si>
  <si>
    <t xml:space="preserve">Universal Bullin</t>
  </si>
  <si>
    <t xml:space="preserve">Can be used as material to Limit Break any ship of Elite (SR) quality and below.</t>
  </si>
  <si>
    <t xml:space="preserve">Remodel Girl</t>
  </si>
  <si>
    <t xml:space="preserve">Urakaze</t>
  </si>
  <si>
    <t xml:space="preserve">Uranami</t>
  </si>
  <si>
    <t xml:space="preserve">Increases this ship's Hit Rate against enemy DDs by 5.0% (20.0%) and decreases the DMG it takes from enemy DD Torpedoes by 5.0% (20.0%).</t>
  </si>
  <si>
    <t xml:space="preserve">Activates All Out Assault Ⅱ: Fubuki Class once every 10 times the Main Guns are fired.</t>
  </si>
  <si>
    <t xml:space="preserve">Uzuki</t>
  </si>
  <si>
    <t xml:space="preserve">Vampire</t>
  </si>
  <si>
    <t xml:space="preserve">Vampire-Exclusive Barrage</t>
  </si>
  <si>
    <t xml:space="preserve">Vampire's Kiss</t>
  </si>
  <si>
    <t xml:space="preserve">Every 35 (25) seconds, launches 3 torpedoes and heals for 20% of the damage inflicted.</t>
  </si>
  <si>
    <t xml:space="preserve">Every 15 (10) times the main battery is fired, triggers Full Barrage - Vampire I (II)</t>
  </si>
  <si>
    <t xml:space="preserve">Vauquelin</t>
  </si>
  <si>
    <t xml:space="preserve">MNF</t>
  </si>
  <si>
    <t xml:space="preserve">Wakaba</t>
  </si>
  <si>
    <t xml:space="preserve">C007</t>
  </si>
  <si>
    <t xml:space="preserve">White Heart</t>
  </si>
  <si>
    <t xml:space="preserve">Getter Ravine AP</t>
  </si>
  <si>
    <t xml:space="preserve">Getter Ravine HE</t>
  </si>
  <si>
    <t xml:space="preserve">Each hit with the main gun increases own torpedoes' critical strike chance by 0.6% (1.5%) (stacks up to 20 times, effect resets after torpedo lauch).</t>
  </si>
  <si>
    <t xml:space="preserve">Every 20 seconds, 20% (40%) chance to release a powerful barrage (damage depends on skill level) that has a low chance to slow enemies for 8 seconds.</t>
  </si>
  <si>
    <t xml:space="preserve">Tänzerin Trombe</t>
  </si>
  <si>
    <t xml:space="preserve">Getter Ravine</t>
  </si>
  <si>
    <t xml:space="preserve">Yoizuki</t>
  </si>
  <si>
    <t xml:space="preserve">Yukikaze</t>
  </si>
  <si>
    <t xml:space="preserve">Yukikaze-Exclusive Barrage HE</t>
  </si>
  <si>
    <t xml:space="preserve">Yukikaze-Exclusive Barrage TP</t>
  </si>
  <si>
    <t xml:space="preserve">While alive in fleet, reduce damage received by the backline by 3.5% (8%). Once per battle, when any ship in the backline drops below 20% health, heal said ship for 4% (10%) of their max HP.</t>
  </si>
  <si>
    <t xml:space="preserve">When taking damage, 5% (25%) chance to decrease said damage to 1. At the start of battle, increases own Luck stat by 5.</t>
  </si>
  <si>
    <t xml:space="preserve">Every 15 (10) times the main battery is fired, trigger Full Barrage - Yukikaze I (II).</t>
  </si>
  <si>
    <t xml:space="preserve">Yukikaze of Kure</t>
  </si>
  <si>
    <t xml:space="preserve">The Unsunk Lucky Ship</t>
  </si>
  <si>
    <t xml:space="preserve">Yuudachi</t>
  </si>
  <si>
    <t xml:space="preserve">Yuudachi-Exclusive Barrage HE</t>
  </si>
  <si>
    <t xml:space="preserve">Yuudachi-Exclusive Barrage TP</t>
  </si>
  <si>
    <t xml:space="preserve">When firing main gun, 6% chance to increase own Firepower, Torpedo stat, Reload, and Evasion by 20% (40%) for 8 seconds.</t>
  </si>
  <si>
    <t xml:space="preserve">Every 15 (10) times the main battery is fired, triggers Full Barrage - Yuudachi I (II)</t>
  </si>
  <si>
    <t xml:space="preserve">Nightmare of Solomon</t>
  </si>
  <si>
    <t xml:space="preserve">Yuugure</t>
  </si>
  <si>
    <t xml:space="preserve">Yuugure Kai</t>
  </si>
  <si>
    <t xml:space="preserve">Z1</t>
  </si>
  <si>
    <t xml:space="preserve">KMS</t>
  </si>
  <si>
    <t xml:space="preserve">Z1-Exclusive Barrage</t>
  </si>
  <si>
    <t xml:space="preserve">During combat, increases Firepower and Evasion of Z-class destroyers by 20% (40%).</t>
  </si>
  <si>
    <t xml:space="preserve">Every 15 (10) shots from the main guns triggers Full Barrage - Z1 I (II)</t>
  </si>
  <si>
    <t xml:space="preserve">Z-Class Pioneer</t>
  </si>
  <si>
    <t xml:space="preserve">Z1 Kai</t>
  </si>
  <si>
    <t xml:space="preserve">Destruction Mode - Prototype</t>
  </si>
  <si>
    <t xml:space="preserve">Every 20 seconds, 50% (80%) chance to release a powerful barrage, while increasing own critical damage dealt by 30% (50%) and reducing aviation damage taken by the Escort Fleet by 10% (30%) for 10 seconds.</t>
  </si>
  <si>
    <t xml:space="preserve">Z18</t>
  </si>
  <si>
    <t xml:space="preserve">1936-Class Barrage</t>
  </si>
  <si>
    <t xml:space="preserve">Increase AP shell damage by 15% (25%).</t>
  </si>
  <si>
    <r>
      <rPr>
        <sz val="11"/>
        <color rgb="FF000000"/>
        <rFont val="Calibri"/>
        <family val="2"/>
        <charset val="1"/>
      </rPr>
      <t xml:space="preserve">Every 15 (10) times the main gun is fired, trigger Full Barrage - Type 1936-Class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</si>
  <si>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Armor-Piercing Expert</t>
  </si>
  <si>
    <t xml:space="preserve">Z19</t>
  </si>
  <si>
    <t xml:space="preserve">Z2</t>
  </si>
  <si>
    <t xml:space="preserve">1934-Class Barrage</t>
  </si>
  <si>
    <t xml:space="preserve">Increases AP shell damage by 15% (25%).</t>
  </si>
  <si>
    <t xml:space="preserve">Every time the main gun is fired 10 times, increases own Reload by 1.5% (5%) and Full Barrage damage by 20% (40%). Can be stacked 4 times.</t>
  </si>
  <si>
    <t xml:space="preserve">Every 15 (10) shots from the main gun, triggers Full Barrage - Type 1934 I (II).</t>
  </si>
  <si>
    <t xml:space="preserve">Morale Boost</t>
  </si>
  <si>
    <t xml:space="preserve">Z20</t>
  </si>
  <si>
    <t xml:space="preserve">Z21</t>
  </si>
  <si>
    <t xml:space="preserve">Z23</t>
  </si>
  <si>
    <t xml:space="preserve">Z23-Exclusive Barrage</t>
  </si>
  <si>
    <t xml:space="preserve">When firing main gun, 5% chance to increase own Firepower by 30% (60%) for 8 seconds.</t>
  </si>
  <si>
    <t xml:space="preserve">Every 15 (10) times the main battery is fired, trigger Full Barrage - Z23 I (II).</t>
  </si>
  <si>
    <t xml:space="preserve">Ironblood Pioneer</t>
  </si>
  <si>
    <t xml:space="preserve">Z23 Kai</t>
  </si>
  <si>
    <t xml:space="preserve">Destruction Mode AP</t>
  </si>
  <si>
    <t xml:space="preserve">Destruction Mode TP</t>
  </si>
  <si>
    <t xml:space="preserve">Every 20 seconds, 40% (70%) chance to release a powerful barrage and spawn 2 rotating shields that can block 5 enemy shells each while launching a wave of 4 slow homing torpedoes; own main gun's critical rate becomes 100% for 10 seconds.</t>
  </si>
  <si>
    <t xml:space="preserve">Destruction Mode</t>
  </si>
  <si>
    <t xml:space="preserve">Z24</t>
  </si>
  <si>
    <t xml:space="preserve">Z24Barrage</t>
  </si>
  <si>
    <t xml:space="preserve">Z24Barrage2</t>
  </si>
  <si>
    <t xml:space="preserve">1936A-Class Barrage</t>
  </si>
  <si>
    <t xml:space="preserve">Z25</t>
  </si>
  <si>
    <t xml:space="preserve">Every 15 (10) times the main battery is fired, triggers Full Barrage - 1936A I (II)</t>
  </si>
  <si>
    <t xml:space="preserve">Z26</t>
  </si>
  <si>
    <t xml:space="preserve">10 seconds after battle starts, spawn a shield that can block up to 3 torpedo attacks; shield lasts for 20 seconds. When this shield is destroyed or disappears due to timed out: launch a Lvl.1 (Lvl.10) torpedo barrage, and spawn the shield again after 30 seconds.</t>
  </si>
  <si>
    <t xml:space="preserve">Anti-Torpedo Field</t>
  </si>
  <si>
    <t xml:space="preserve">Z28</t>
  </si>
  <si>
    <t xml:space="preserve">Z28Barrage</t>
  </si>
  <si>
    <t xml:space="preserve">Z35</t>
  </si>
  <si>
    <t xml:space="preserve">1936B-Class Barrage</t>
  </si>
  <si>
    <t xml:space="preserve">Every 20 seconds, 40% (70%) chance to increase own Firepower by 30% (50%) and Reload by 100% (200%) for 10 seconds. After buff duration, decrease own Reload by 100% for 3 seconds.</t>
  </si>
  <si>
    <t xml:space="preserve">Every 15 (10) times the main battery is fired, trigger Full Barrage - 1936B I (II)</t>
  </si>
  <si>
    <t xml:space="preserve">Overload Firepower</t>
  </si>
  <si>
    <t xml:space="preserve">Z36</t>
  </si>
  <si>
    <t xml:space="preserve">At the start of battle and every 20 seconds after the start of battle, launch special barrage and increase own firepower and torpedo by 9% (24%). Over the 20 seconds the effects of this skill will slowly decrease back to 0%</t>
  </si>
  <si>
    <t xml:space="preserve">Devil Strike</t>
  </si>
  <si>
    <t xml:space="preserve">Z46</t>
  </si>
  <si>
    <t xml:space="preserve">Z46-Exclusive Barrage TP</t>
  </si>
  <si>
    <t xml:space="preserve">Z46-Exclusive Barrage AP</t>
  </si>
  <si>
    <t xml:space="preserve">When enemy planes are shot down within her AA radius, increases own Firepower by 5% (15%) of own total Anti-Air stat (only base stat and gear is counted) for 8 seconds. If skill is reactivated within the 8 seconds, the buff does not stack and only the duration is refreshed.</t>
  </si>
  <si>
    <t xml:space="preserve">Every 15 (10) shots from the main gun, triggers Full Barrage - Z46 I (II).</t>
  </si>
  <si>
    <t xml:space="preserve">Iron Wing Annihilation</t>
  </si>
  <si>
    <t xml:space="preserve">Abukuma</t>
  </si>
  <si>
    <t xml:space="preserve">CL </t>
  </si>
  <si>
    <t xml:space="preserve">Nagara-Class Barrage</t>
  </si>
  <si>
    <t xml:space="preserve">Every 12 (8) times the main battery is fired, trigger Full Barrage - Nagara Class I (II)</t>
  </si>
  <si>
    <t xml:space="preserve">Abukuma Kai</t>
  </si>
  <si>
    <t xml:space="preserve">Achilles</t>
  </si>
  <si>
    <t xml:space="preserve">Leander-Class Barrage</t>
  </si>
  <si>
    <t xml:space="preserve">Every 12 (8) times the main battery is fired, trigger Full Barrage - Leander Class I (II).</t>
  </si>
  <si>
    <t xml:space="preserve">Achilles Kai</t>
  </si>
  <si>
    <t xml:space="preserve">Increase own damage against heavy cruisers by 15% (25%).</t>
  </si>
  <si>
    <t xml:space="preserve">Giant Hunter</t>
  </si>
  <si>
    <t xml:space="preserve">Agano</t>
  </si>
  <si>
    <t xml:space="preserve">Agano-Class Barrage</t>
  </si>
  <si>
    <t xml:space="preserve">While alive in fleet, reduces damage taken by allied CVs/CVLs by 5% (15%). Does not stack with the same skill.</t>
  </si>
  <si>
    <t xml:space="preserve">Every 12 (8) times the main battery is fired, triggers Full Barrage - Agano Class I (II)</t>
  </si>
  <si>
    <t xml:space="preserve">Ajax</t>
  </si>
  <si>
    <t xml:space="preserve">Ajax Kai</t>
  </si>
  <si>
    <t xml:space="preserve">Arethusa</t>
  </si>
  <si>
    <t xml:space="preserve">Arethusa-Class Barrage</t>
  </si>
  <si>
    <t xml:space="preserve">Every 20 seconds, 25% chance to increase fleet's Reload by 5% (25%) for 8 seconds. Does not stack with the same skill.</t>
  </si>
  <si>
    <t xml:space="preserve">Every 12 (8) times the main battery is fired, triggers Full Barrage - Arethusa Class I (II)</t>
  </si>
  <si>
    <t xml:space="preserve">Atlanta</t>
  </si>
  <si>
    <t xml:space="preserve">Atlanta-Class Barrage</t>
  </si>
  <si>
    <t xml:space="preserve">Increase Anti-Air of cruisers in the same fleet by 5% (15%). Does not stack with other command skills that have similar effect.</t>
  </si>
  <si>
    <t xml:space="preserve">Every 12 (8) times the main battery is fired, trigger Full Barrage - Atlanta Class I (II)</t>
  </si>
  <si>
    <t xml:space="preserve">Anti-Air Command - Cruiser</t>
  </si>
  <si>
    <t xml:space="preserve">Aurora</t>
  </si>
  <si>
    <t xml:space="preserve">Increases own damage dealt to Destroyers, transport vessels, torpedo boats, and suicide boats by 10% (20%).</t>
  </si>
  <si>
    <t xml:space="preserve">While alive in fleet, decreases the Evasion Rate of all enemy Destroyers and Light Cruisers by 10% (20%).</t>
  </si>
  <si>
    <t xml:space="preserve">Every 12 (8) times the main battery is fired, trigger Full Barrage - Arethusa Class I (II)</t>
  </si>
  <si>
    <t xml:space="preserve">Silver Phantom</t>
  </si>
  <si>
    <t xml:space="preserve">Dawn</t>
  </si>
  <si>
    <t xml:space="preserve">Avrora</t>
  </si>
  <si>
    <t xml:space="preserve">NU </t>
  </si>
  <si>
    <t xml:space="preserve">Avrora-Exclusive Barrage</t>
  </si>
  <si>
    <t xml:space="preserve">Increases damage dealt by all Escort ships by 15% (35%).</t>
  </si>
  <si>
    <t xml:space="preserve">Every 12 (8) times the main battery is fired, trigger Full Barrage - Avrora I (II).</t>
  </si>
  <si>
    <t xml:space="preserve">Cannon Fire That Marked A Change of Era</t>
  </si>
  <si>
    <t xml:space="preserve">Belchan</t>
  </si>
  <si>
    <t xml:space="preserve">Edinburgh-Class Barrage</t>
  </si>
  <si>
    <t xml:space="preserve">Increases own Speed by 3 (8) and increase own Evasion by 13% (25%).</t>
  </si>
  <si>
    <t xml:space="preserve">After battle begins, recovers HP of entire fleet equal to 1% (3.5%) of Little Bel's max HP.</t>
  </si>
  <si>
    <t xml:space="preserve">Every 12 (8) times the main battery is fired, triggers Full Barrage - Edinburgh I (II)</t>
  </si>
  <si>
    <t xml:space="preserve">The Perfect Chibi Maid</t>
  </si>
  <si>
    <t xml:space="preserve">Ladies' Tea Time</t>
  </si>
  <si>
    <t xml:space="preserve">Belfast</t>
  </si>
  <si>
    <t xml:space="preserve">Belfast-Exclusive Barrage</t>
  </si>
  <si>
    <t xml:space="preserve">Increases HE damage (applies only to Shelling damage, not Burn damage) dealt by 15% (25%), and chance to ignite by 1.2% (3.0%).</t>
  </si>
  <si>
    <t xml:space="preserve">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</si>
  <si>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 xml:space="preserve">Every 12 (8) times the main battery is fired, trigger Full Barrage - Belfast I (II).</t>
  </si>
  <si>
    <t xml:space="preserve">Burn Order</t>
  </si>
  <si>
    <t xml:space="preserve">Smokescreen - Light Cruiser</t>
  </si>
  <si>
    <t xml:space="preserve">Biloxi</t>
  </si>
  <si>
    <t xml:space="preserve">Cleveland-Class Barrage</t>
  </si>
  <si>
    <t xml:space="preserve">While this ship is equipping the Twin 127mm (5"/38 Mk 38): increases this ship's AA by 5% (15%) but decreases its FP by 15% (5%); while not equipping this gun: increases this ship's FP by 5% (15%) but decreases its AA by 15% (5%).</t>
  </si>
  <si>
    <t xml:space="preserve">Once per battle, when the HP of any ship in your fleet falls below 50.0%: for 12s, increases this ship's AA by 5.0% (15.0%) and decreases the DMG taken by the ship whose HP fell below the threshold by 5.0% (15.0%).</t>
  </si>
  <si>
    <t xml:space="preserve">Activates All Out Assault Ⅱ: Cleveland Class once every 10 times the Main Guns are fired.</t>
  </si>
  <si>
    <t xml:space="preserve">Air-Surface Switch</t>
  </si>
  <si>
    <t xml:space="preserve">Protective Blaze</t>
  </si>
  <si>
    <t xml:space="preserve">Birmingham</t>
  </si>
  <si>
    <t xml:space="preserve">While alive in fleet, reduces duration of burning effect on flagship and self by 3 seconds. When enemy plane is shot down, increases own Firepower and Anti-Air stat by 5% (15%) for 8 seconds (effect does not stack).</t>
  </si>
  <si>
    <t xml:space="preserve">Upon taking damage: 4% (10%) chance to increase own Evasion by 20% (40%) for 5 seconds (effect has 8 seconds cooldown). Once per battle, when Health falls under 30%: evades all attacks for 5 seconds.</t>
  </si>
  <si>
    <t xml:space="preserve">Every 15 (10) times the main gun is fired, triggers Full Barrage - Cleveland-class I (II).</t>
  </si>
  <si>
    <t xml:space="preserve">Guardian of War</t>
  </si>
  <si>
    <t xml:space="preserve">Awakening of the Knight</t>
  </si>
  <si>
    <t xml:space="preserve">Black Prince</t>
  </si>
  <si>
    <t xml:space="preserve">Dido-Class Barrage</t>
  </si>
  <si>
    <t xml:space="preserve">If sortied with any Eagle Union ship: increases own Main Gun's critical rate by 20% (40%), and own Firepower and Torpedo stat by 8% (20%).</t>
  </si>
  <si>
    <t xml:space="preserve">Every 15 (10) times the main battery is fired, trigger Full Barrage - Dido-class I (II)</t>
  </si>
  <si>
    <t xml:space="preserve">Woodstock's Longbow</t>
  </si>
  <si>
    <t xml:space="preserve">Brooklyn</t>
  </si>
  <si>
    <t xml:space="preserve">St. Louis-Class Barrage</t>
  </si>
  <si>
    <t xml:space="preserve">Increase Firepower of cruisers in the fleet by 5% (15%). Does not stack with other command skills that have similar effect.</t>
  </si>
  <si>
    <t xml:space="preserve">Every 15 (10) times the main gun is fired, trigger Full Barrage - Brooklyn Class I (II)</t>
  </si>
  <si>
    <t xml:space="preserve">Artillery Command - Cruiser</t>
  </si>
  <si>
    <t xml:space="preserve">Chapayev</t>
  </si>
  <si>
    <t xml:space="preserve">Chapayev-Exclusive Barrage</t>
  </si>
  <si>
    <t xml:space="preserve">虚空的白骑兵</t>
  </si>
  <si>
    <t xml:space="preserve">Cleveland</t>
  </si>
  <si>
    <t xml:space="preserve">Every 20 seconds: 25% chance to increase damage dealt by all ships in the fleet by 5% (25%) for 8 seconds. Does not stack with the same skill.</t>
  </si>
  <si>
    <t xml:space="preserve">Every 15 (10) times the main gun is fired, triggers Full Barrage - Cleveland Class I (II).</t>
  </si>
  <si>
    <t xml:space="preserve">Raid Order</t>
  </si>
  <si>
    <t xml:space="preserve">Cleveland Muse</t>
  </si>
  <si>
    <t xml:space="preserve">Cleveland Muse Barrage</t>
  </si>
  <si>
    <t xml:space="preserve">Purple Musical Note</t>
  </si>
  <si>
    <t xml:space="preserve">Every 15 seconds: changes Main Gun ammo type to purple Musical Note for 8 seconds.</t>
  </si>
  <si>
    <t xml:space="preserve">When enemy aircrafts are shot down within own AA range: increases own Anti-Air stat by 3.5% (8%) per shot down aircraft for 8 seconds (effect can stack up to 4 times).</t>
  </si>
  <si>
    <t xml:space="preserve">Every 10 times the main gun is fired, triggers Full Barrage - Cleveland Muse I (II).</t>
  </si>
  <si>
    <t xml:space="preserve">Spiritual Chasing</t>
  </si>
  <si>
    <t xml:space="preserve">Star-falling Passion</t>
  </si>
  <si>
    <t xml:space="preserve">Columbia</t>
  </si>
  <si>
    <t xml:space="preserve">Every 15 (10) times the main battery is fired, trigger Full Barrage - Cleveland Muse I (II)</t>
  </si>
  <si>
    <t xml:space="preserve">Concord</t>
  </si>
  <si>
    <t xml:space="preserve">Omaha-Class Barrage</t>
  </si>
  <si>
    <t xml:space="preserve">30% (60%) chance to activate every 20 seconds: increase own Reload by 20% (40%) for 10 seconds.</t>
  </si>
  <si>
    <t xml:space="preserve">Every 12 (8) times the main gun is fired, trigger Full Barrage - Omaha Class I (II).</t>
  </si>
  <si>
    <t xml:space="preserve">Curacoa</t>
  </si>
  <si>
    <t xml:space="preserve">Ceres-Class Cruiser Barrage</t>
  </si>
  <si>
    <t xml:space="preserve">Every 24 (16) times the main gun is fired, trigger Full Barrage - Ceres-class I (II).</t>
  </si>
  <si>
    <t xml:space="preserve">Curacoa Kai</t>
  </si>
  <si>
    <t xml:space="preserve">Anti-Air Command - Vanguard</t>
  </si>
  <si>
    <t xml:space="preserve">Curlew</t>
  </si>
  <si>
    <t xml:space="preserve">Every 24 (16) times the main gun is fired, triggers Full Barrage - Ceres-class I (II).</t>
  </si>
  <si>
    <t xml:space="preserve">Curlew Kai</t>
  </si>
  <si>
    <t xml:space="preserve">Denver</t>
  </si>
  <si>
    <t xml:space="preserve">Every 15 (10) times the main battery is fired, trigger Full Barrage - Cleveland Class I (II)</t>
  </si>
  <si>
    <t xml:space="preserve">Dido</t>
  </si>
  <si>
    <t xml:space="preserve">Dido-Exclusive Barrage Normal</t>
  </si>
  <si>
    <t xml:space="preserve">Dido-Exclusive Barrage AP</t>
  </si>
  <si>
    <t xml:space="preserve">Increase the FP, TRP and AA of all your Dido-class CLs by 5% (15.0%). At the start of the battle: increase this ship's AA and EVA by 5% (15.0%) for 30s.</t>
  </si>
  <si>
    <t xml:space="preserve">Increase this ship's FP, AA and RLD by 1.5% (6.0%) for every Royal Navy ship in your fleet at the start of the battle (Can be stacked up to 4 time). When sortied with Queen Elizabeth: increase Queen Elizabeth's FP, RLD, EVA and Accuracy by 2.5% (7.0%) and Main Gun Crit Rate by 5% (20.0%).</t>
  </si>
  <si>
    <t xml:space="preserve">Every 15 (10) times the main gun is fired, trigger Full Barrage - Dido I (II)</t>
  </si>
  <si>
    <t xml:space="preserve">Dido's Aria</t>
  </si>
  <si>
    <t xml:space="preserve">For the Queen</t>
  </si>
  <si>
    <t xml:space="preserve">Edinburgh</t>
  </si>
  <si>
    <t xml:space="preserve">Increases damage dealt by armor-piercing shots by 15% (25%)</t>
  </si>
  <si>
    <t xml:space="preserve">Every 12(8) times the main battery is fired, triggers Full Barrage - Edinburgh I (II)</t>
  </si>
  <si>
    <t xml:space="preserve">Emile Bertin</t>
  </si>
  <si>
    <t xml:space="preserve">Emile Bertin-Exclusive Barrage</t>
  </si>
  <si>
    <t xml:space="preserve">During sortie, increases Firepower, Torpedo stat and Accuracy of Iris Libre (FFNF) and Vichya Dominion (MNF) destroyers by 5% (15%).</t>
  </si>
  <si>
    <t xml:space="preserve">During sortie, if escort fleet is compose of Emile Bertin and destroyers only, increases own Speed by 4 and increases own damage against destroyers and cruisers by 5% (20%).</t>
  </si>
  <si>
    <t xml:space="preserve">Every 12 (8) times the main gun is fired, trigger Full Barrage - Emile Bertin Class I (II).</t>
  </si>
  <si>
    <t xml:space="preserve">Iris' Heart</t>
  </si>
  <si>
    <t xml:space="preserve">Destroyer Squadron</t>
  </si>
  <si>
    <t xml:space="preserve">Emile Bertin Kai</t>
  </si>
  <si>
    <t xml:space="preserve">Angel of Love N</t>
  </si>
  <si>
    <t xml:space="preserve">Angel of Love TP</t>
  </si>
  <si>
    <t xml:space="preserve">When sortied with Destroyers: increases own Firepower, Anti-Air, and Accuracy by 5% (15%). Once per battle, when a Destroyer in the fleet falls below 50% Health: fires a barrage.</t>
  </si>
  <si>
    <t xml:space="preserve">Angel of Love</t>
  </si>
  <si>
    <t xml:space="preserve">Fiji</t>
  </si>
  <si>
    <t xml:space="preserve">Fiji-Class Barrage</t>
  </si>
  <si>
    <t xml:space="preserve">Every 20 seconds, increase own Anti-Air by 20% (60%) and decreases damage taken by all ships in the fleet by 3.5% (8%) for 6 seconds.</t>
  </si>
  <si>
    <t xml:space="preserve">Every 12(8) times the main battery is fired, trigger Full Barrage - Fiji I (II)</t>
  </si>
  <si>
    <t xml:space="preserve">Crete's Black Cloud</t>
  </si>
  <si>
    <t xml:space="preserve">Galatea</t>
  </si>
  <si>
    <t xml:space="preserve">Glasgow</t>
  </si>
  <si>
    <t xml:space="preserve">Southampton-Class Barrage</t>
  </si>
  <si>
    <t xml:space="preserve">While alive in fleet, reduces damage received by main fleet by 3.5% (8%). Additionally, reduces Light Cruisers' and Destroyers' gun and torpedo damage dealt to Glasgow by 1% (10%).</t>
  </si>
  <si>
    <t xml:space="preserve">Every 12 (8) times the main battery is fired, trigger Full Barrage - Southampton Class I (II)</t>
  </si>
  <si>
    <t xml:space="preserve">Swift Defender</t>
  </si>
  <si>
    <t xml:space="preserve">Gloucester</t>
  </si>
  <si>
    <t xml:space="preserve">Gloucester-Class Barrage</t>
  </si>
  <si>
    <t xml:space="preserve">When the fleet this ship is in is Out of Ammo: decreases the effect of the DMG debuff by 5% (15%).</t>
  </si>
  <si>
    <t xml:space="preserve">Increases this ship's FP and Accuracy by 5.0%. Every time this ship sinks an enemy: increases this ship's FP and Accuracy by 1.0% (2.0%) for the rest of the battle (can be stacked up to 5 times.)</t>
  </si>
  <si>
    <t xml:space="preserve">Activates All Out Assault Ⅱ: Gloucester Class once every 8 times the Main Guns are fired.</t>
  </si>
  <si>
    <t xml:space="preserve">Ammunition Command</t>
  </si>
  <si>
    <t xml:space="preserve">The Fighting G</t>
  </si>
  <si>
    <t xml:space="preserve">Helena</t>
  </si>
  <si>
    <t xml:space="preserve">Every 20 seconds, 30% (60%) chance to increase damage taken by all enemies on the screen by 20% (40%) for 10 seconds.</t>
  </si>
  <si>
    <t xml:space="preserve">Radar Sweep</t>
  </si>
  <si>
    <t xml:space="preserve">Helena Kai</t>
  </si>
  <si>
    <t xml:space="preserve">Every 20 seconds, 30% (60%) chance to increase damage taken by all enemies on the screen by 20% (40%) for 10 seconds. If equipped with SG Radar, increase self evasion by 10% and decrease first radar scan to 16s.</t>
  </si>
  <si>
    <t xml:space="preserve">Decreases damage taken by torpedoes by 15%. At the start of battle if the vanguard is full and the rear vanguard is also a USS ship, increase their evasion by 12%.</t>
  </si>
  <si>
    <t xml:space="preserve">Radar Sweep Kai</t>
  </si>
  <si>
    <t xml:space="preserve">Hermione</t>
  </si>
  <si>
    <t xml:space="preserve">Hermione Excluse Barrage</t>
  </si>
  <si>
    <t xml:space="preserve">Hermione Skill</t>
  </si>
  <si>
    <t xml:space="preserve">Hermione Skill 2</t>
  </si>
  <si>
    <t xml:space="preserve">Honolulu</t>
  </si>
  <si>
    <t xml:space="preserve">Every 15 (10) shots from the main gun, trigger Full Barrage - Brooklyn Class I (II).</t>
  </si>
  <si>
    <t xml:space="preserve">Isuzu</t>
  </si>
  <si>
    <t xml:space="preserve">Isuzu Kai</t>
  </si>
  <si>
    <t xml:space="preserve">IsuzuKai</t>
  </si>
  <si>
    <t xml:space="preserve">Jamaica</t>
  </si>
  <si>
    <t xml:space="preserve">If sortied with Sheffield, increases own Firepower and Torpedo stat by 5% (15%).</t>
  </si>
  <si>
    <t xml:space="preserve">Every 12 (8) times the main battery is fired, trigger Full Barrage - Fiji I (II)</t>
  </si>
  <si>
    <t xml:space="preserve">Friends of Justice</t>
  </si>
  <si>
    <t xml:space="preserve">Jeanne d'Arc</t>
  </si>
  <si>
    <t xml:space="preserve">FFNF</t>
  </si>
  <si>
    <t xml:space="preserve">Jeanne d'Arc-Exclusive Barrage</t>
  </si>
  <si>
    <t xml:space="preserve">Jintsuu</t>
  </si>
  <si>
    <t xml:space="preserve">Sendai-Class Barrage</t>
  </si>
  <si>
    <t xml:space="preserve">While alive in fleet, increases Reload and Torpedo stat for all Light Cruisers and Destroyers in the same fleet by 5% (20%).</t>
  </si>
  <si>
    <t xml:space="preserve">Every 12 (8) times the main battery is fired, triggers Full Barrage - Sendai Class I (II)</t>
  </si>
  <si>
    <t xml:space="preserve">Splendid 2nd Torpedo Squadron</t>
  </si>
  <si>
    <t xml:space="preserve">Jintsuu Kai</t>
  </si>
  <si>
    <t xml:space="preserve">Decreases damage taken to self by 20%. While alive in fleet, increases Torpedo critical hit chance for all Light Cruisers and Destroyers in the same fleet by 4% (10%). Starting from level 6 of the skill, also increases Torpedo critical hit damage by 5% (30%).</t>
  </si>
  <si>
    <t xml:space="preserve">Unyielding Beast</t>
  </si>
  <si>
    <t xml:space="preserve">Juneau</t>
  </si>
  <si>
    <t xml:space="preserve">When sunk, all other members in the fleet recovers 15% (25%) of their max Health.</t>
  </si>
  <si>
    <t xml:space="preserve">War Martyr</t>
  </si>
  <si>
    <t xml:space="preserve">Karlsruhe</t>
  </si>
  <si>
    <t xml:space="preserve">Königsberg-Class Barrage</t>
  </si>
  <si>
    <t xml:space="preserve">Every 20 seconds, 30% (60%) chance to increase own Firepower by 20% (40%) for 10s.</t>
  </si>
  <si>
    <t xml:space="preserve">Every 12 (8) shots from the main gun, triggers Full Barrage - Königsberg Class I (II).</t>
  </si>
  <si>
    <t xml:space="preserve">Karlsruhe Kai</t>
  </si>
  <si>
    <t xml:space="preserve">Increases damage dealt to suicide, torpedo, and transport ships by 10% (25%).</t>
  </si>
  <si>
    <t xml:space="preserve">Disturbance Strategy</t>
  </si>
  <si>
    <t xml:space="preserve">Kinu</t>
  </si>
  <si>
    <t xml:space="preserve">At the start of the battle: increases this ship's FP, AA, and ASW by 5.0% (15.0%). While this ship is afloat: decreases the DMG your SSs and SSVs take by 5.0% (15.0%).</t>
  </si>
  <si>
    <t xml:space="preserve">Demonblade</t>
  </si>
  <si>
    <t xml:space="preserve">Kinu Kai</t>
  </si>
  <si>
    <t xml:space="preserve">Increases the torpedo DMG this ship deals by 5.0% (15.0%). When this ship fires its torpedoes: 15.0% (30.0%) chance to launch a second wave of torpedoes.</t>
  </si>
  <si>
    <t xml:space="preserve">(Retrofit) Demon's Wish</t>
  </si>
  <si>
    <t xml:space="preserve">Koln</t>
  </si>
  <si>
    <t xml:space="preserve">Every 12 (8) shots from the main guns, triggers Full Barrage - Königsberg Class I (II)</t>
  </si>
  <si>
    <t xml:space="preserve">Koln Kai</t>
  </si>
  <si>
    <t xml:space="preserve">If equipped with the Fl-282, 10 seconds after battle starts and every 30 seconds after that: launches a Fl-282 helicopter. When the helicopter is launched: reveals all enemy submarines and increases damage dealt to them by 5% (15%) for 10 seconds.</t>
  </si>
  <si>
    <t xml:space="preserve">Hummingbird Infestation</t>
  </si>
  <si>
    <t xml:space="preserve">Konigsberg</t>
  </si>
  <si>
    <t xml:space="preserve">Increases Reload of cruisers in the fleet by 5% (15%). Does not stack with other command skills that have similar effect.</t>
  </si>
  <si>
    <t xml:space="preserve">Reload Command - Cruiser</t>
  </si>
  <si>
    <t xml:space="preserve">La Galissonniere</t>
  </si>
  <si>
    <t xml:space="preserve">La Galissonniere-Class Barrage</t>
  </si>
  <si>
    <t xml:space="preserve">Leander</t>
  </si>
  <si>
    <t xml:space="preserve">Increase Firepower of Cruisers in the same fleet by 5% (15%). Does not stack with other command skills that have similar effect.</t>
  </si>
  <si>
    <t xml:space="preserve">Every 12 (8) times the main battery is fired, trigger Full Barrage - Leander Class I (II)</t>
  </si>
  <si>
    <t xml:space="preserve">Leander Kai</t>
  </si>
  <si>
    <t xml:space="preserve">Leipzig</t>
  </si>
  <si>
    <t xml:space="preserve">Leipzig-Exclusive Barrage</t>
  </si>
  <si>
    <t xml:space="preserve">Increases Firepower, Torpedo stat, and Reload of all Cruisers by 1% (10%). Does not stack with other command skills that have similar effect.</t>
  </si>
  <si>
    <t xml:space="preserve">Every 12 (8) shots from the main guns, triggers Full Barrage - Leipzig Class I (II)</t>
  </si>
  <si>
    <t xml:space="preserve">Tactical Command - Cruiser</t>
  </si>
  <si>
    <t xml:space="preserve">Leipzig Kai</t>
  </si>
  <si>
    <t xml:space="preserve">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</si>
  <si>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 xml:space="preserve">Safety First!</t>
  </si>
  <si>
    <t xml:space="preserve">Lena</t>
  </si>
  <si>
    <t xml:space="preserve">Every 20 seconds, 30% (60%) chance to reduce Firepower, Torpedo stat, and Aviation of enemy ships by 4.5% (12%) for 10 seconds.</t>
  </si>
  <si>
    <t xml:space="preserve">When firing Anti-Air guns: 30% chance to increase own Anti-Air stat by 5% (25%) for 5 seconds. Once per battle, if sortied with Li'l Sandy or Clevelad, and their Health falls under 40%: increases own Firepower and Accuracy by 5% (25%) for 15 seconds.</t>
  </si>
  <si>
    <t xml:space="preserve">Light of Purification</t>
  </si>
  <si>
    <t xml:space="preserve">Naive Girl</t>
  </si>
  <si>
    <t xml:space="preserve">Mainz</t>
  </si>
  <si>
    <t xml:space="preserve">Priority </t>
  </si>
  <si>
    <t xml:space="preserve">MainzSkill</t>
  </si>
  <si>
    <t xml:space="preserve">MainzSkill2</t>
  </si>
  <si>
    <t xml:space="preserve">Ausgewogen</t>
  </si>
  <si>
    <t xml:space="preserve">MainzBarrage</t>
  </si>
  <si>
    <t xml:space="preserve">Marblehead</t>
  </si>
  <si>
    <t xml:space="preserve">Memphis</t>
  </si>
  <si>
    <t xml:space="preserve">Every 12 (8) times the main gun is fired, trigger Full Barrage - Omaha Class I(II)</t>
  </si>
  <si>
    <t xml:space="preserve">Mikuma</t>
  </si>
  <si>
    <t xml:space="preserve">Mogami-Class Barrage</t>
  </si>
  <si>
    <t xml:space="preserve">Reduces AP damage taken by self by 10% (20%).</t>
  </si>
  <si>
    <t xml:space="preserve">Every 12 (8) times the main battery is fired, triggers Full Barrage - Mogami I (II)</t>
  </si>
  <si>
    <t xml:space="preserve">AP Protection</t>
  </si>
  <si>
    <t xml:space="preserve">Mogami</t>
  </si>
  <si>
    <t xml:space="preserve">Every 12 (8) times the main battery is fired, triggers Full Barrage - Mogami I (II) (Kai after retrofit).</t>
  </si>
  <si>
    <t xml:space="preserve">Every 20 seconds: 30% (60%) chance to increase Firepower and Accuracy for all cruisers in the fleet by 5% (25%) and decrease damage taken by them by 5% (15%) for 8 seconds.</t>
  </si>
  <si>
    <t xml:space="preserve">Legend of the Solomons</t>
  </si>
  <si>
    <t xml:space="preserve">Nagara</t>
  </si>
  <si>
    <t xml:space="preserve">Naka</t>
  </si>
  <si>
    <t xml:space="preserve">While alive in fleet, increases Reload and Torpedo for all Light Cruisers and Destroyers in the same fleet by 3% (15%).</t>
  </si>
  <si>
    <t xml:space="preserve">Every 12 (8) times the main battery is fired, triggers Full Barrage - Sendai Class I (II).</t>
  </si>
  <si>
    <t xml:space="preserve">Torpedo Fleet</t>
  </si>
  <si>
    <t xml:space="preserve">C001</t>
  </si>
  <si>
    <t xml:space="preserve">Neptune (HDN)</t>
  </si>
  <si>
    <t xml:space="preserve">If a Neptunia ship is present in the fleet, increase own damage by 3% (10%) and decrease damage received by 6%. Also increases own damage by 1% (2%), and decreases damage received by 1% for each Neptunia ship, excluding herself.</t>
  </si>
  <si>
    <t xml:space="preserve">Main Character Correction</t>
  </si>
  <si>
    <t xml:space="preserve">P001</t>
  </si>
  <si>
    <t xml:space="preserve">Neptune (HMS)</t>
  </si>
  <si>
    <t xml:space="preserve">Neptune-Exclusive Barrage</t>
  </si>
  <si>
    <t xml:space="preserve">Increases own AP damage dealt by 15% (35%).</t>
  </si>
  <si>
    <t xml:space="preserve">When own Health falls below 20%, recovers 15% (25%) of max Health and increases own Reload by 30% until the end of the battle. Can only occur once per battle.</t>
  </si>
  <si>
    <t xml:space="preserve">Every 12 (8) shots from the main gun, triggers Full Barrage - Neptune I (II).</t>
  </si>
  <si>
    <t xml:space="preserve">MKV-class AP Shell</t>
  </si>
  <si>
    <t xml:space="preserve">Goddess of the Sea</t>
  </si>
  <si>
    <t xml:space="preserve">Newcastle</t>
  </si>
  <si>
    <t xml:space="preserve">Every 20 seconds: 25% chance to increase entire fleet's Reload by 5% (25%) for 8 seconds. Does not stack with the same skill.</t>
  </si>
  <si>
    <t xml:space="preserve">Every 12 (8) times the main gun is fired, trigger Full Barrage - Southampton Class I (II).</t>
  </si>
  <si>
    <t xml:space="preserve">Newcastle Kai</t>
  </si>
  <si>
    <t xml:space="preserve">Increases Firepower of the Escort Fleet by 5% (15%). Does not stack with other command skills that have similar effect.</t>
  </si>
  <si>
    <t xml:space="preserve">Artillery Command - Vanguard</t>
  </si>
  <si>
    <t xml:space="preserve">Ning Hai</t>
  </si>
  <si>
    <t xml:space="preserve">Ning Hai-Class Barrage</t>
  </si>
  <si>
    <t xml:space="preserve">If sortied with Ping Hai, increases own Firepower by 15% (35%).</t>
  </si>
  <si>
    <t xml:space="preserve">Increases damage dealt to Sakura Empire ships by 5% (25%).</t>
  </si>
  <si>
    <t xml:space="preserve">Every 12 (8) times the main battery is fired, triggers Full Barrage - Ning Hai I (II)</t>
  </si>
  <si>
    <t xml:space="preserve">Sisterly Bonds</t>
  </si>
  <si>
    <t xml:space="preserve">Sakura Resistance</t>
  </si>
  <si>
    <t xml:space="preserve">Ning Hai Kai</t>
  </si>
  <si>
    <t xml:space="preserve">Increases own Speed by 3 (8) and Firepower by 3% (15%).</t>
  </si>
  <si>
    <t xml:space="preserve">Warrior Soul</t>
  </si>
  <si>
    <t xml:space="preserve">Noshiro</t>
  </si>
  <si>
    <t xml:space="preserve">Noshiro-Exclusive Barrage</t>
  </si>
  <si>
    <t xml:space="preserve">Noshiro-Exclusive Barrage TP</t>
  </si>
  <si>
    <t xml:space="preserve">While this ship is afloat: increases this ship's Evasion Rate by 5.0% (15.0%) and decreases the torpedo DMG your Vanguard takes by 5.0% (20.0%).</t>
  </si>
  <si>
    <t xml:space="preserve">Increases the DMG this ship deals to enemy CVs and CVLs by 5.0% (20.0%). While this ship is afloat: increases the TRP of your Vanguard by 5.0% (20.0%). Also increases Crit Rate by 5.0% when fully upgraded.</t>
  </si>
  <si>
    <t xml:space="preserve">Every 12 (8) times the main battery is fired, triggers Full Barrage - Noshiro I (II)</t>
  </si>
  <si>
    <t xml:space="preserve">Noshiro's Hoarfrost</t>
  </si>
  <si>
    <t xml:space="preserve">Skyslayer's Edge</t>
  </si>
  <si>
    <t xml:space="preserve">Nurnberg</t>
  </si>
  <si>
    <t xml:space="preserve">NurnbergBarrage</t>
  </si>
  <si>
    <t xml:space="preserve">Omaha</t>
  </si>
  <si>
    <t xml:space="preserve">Pamiat Merkuria</t>
  </si>
  <si>
    <t xml:space="preserve">Bogatyr-Class Barrage</t>
  </si>
  <si>
    <t xml:space="preserve">Phoenix</t>
  </si>
  <si>
    <t xml:space="preserve">When Health falls under 20%, heals 15% (25%) of max Health and increase own Firepower by 30% for 15 seconds. Can only occur once per battle.</t>
  </si>
  <si>
    <t xml:space="preserve">Crimson Phoenix</t>
  </si>
  <si>
    <t xml:space="preserve">Ping Hai</t>
  </si>
  <si>
    <t xml:space="preserve">If sortied with Ning Hai, increases own Firepower by 15% (35%).</t>
  </si>
  <si>
    <t xml:space="preserve">Ping Hai Kai</t>
  </si>
  <si>
    <t xml:space="preserve">C005</t>
  </si>
  <si>
    <t xml:space="preserve">Purple Heart</t>
  </si>
  <si>
    <t xml:space="preserve">Blaze Break</t>
  </si>
  <si>
    <t xml:space="preserve">Victory Slash AP</t>
  </si>
  <si>
    <t xml:space="preserve">Victory Slash N</t>
  </si>
  <si>
    <t xml:space="preserve">After every 15 (6) shots from the main gun, the next shot deals a critical hit.</t>
  </si>
  <si>
    <t xml:space="preserve">115 seconds after the battle starts, releases a powerful barrage (damage depends on skill level). Can occur only once per battle.</t>
  </si>
  <si>
    <t xml:space="preserve">20% (40%) chance to activate every 20 seconds: releases a powerful barrage (damage depends on skill level) that has a low chance to set enemies on fire for 12 seconds.</t>
  </si>
  <si>
    <t xml:space="preserve">Cross Combination</t>
  </si>
  <si>
    <t xml:space="preserve">Victory Slash</t>
  </si>
  <si>
    <t xml:space="preserve">Raleigh</t>
  </si>
  <si>
    <t xml:space="preserve">Reno</t>
  </si>
  <si>
    <t xml:space="preserve">Reno-Exclusive Barrage</t>
  </si>
  <si>
    <t xml:space="preserve">Richmond</t>
  </si>
  <si>
    <t xml:space="preserve">Increases Firepower of Cruisers in the same fleet by 5% (15%). Does not stack with other command skills that have similar effect.</t>
  </si>
  <si>
    <t xml:space="preserve">Every 12 (8) shots from the main guns, trigger Full Barrage - Omaha-Class I (II).</t>
  </si>
  <si>
    <t xml:space="preserve">C033</t>
  </si>
  <si>
    <t xml:space="preserve">Rurutie</t>
  </si>
  <si>
    <t xml:space="preserve">Lily Root I</t>
  </si>
  <si>
    <t xml:space="preserve">Every 10 seconds, 5% (25%) chance to heal Rurutie for 2% of her max Health. The skill can be activated for maximum 6 times each battle.</t>
  </si>
  <si>
    <t xml:space="preserve">Every 22 seconds after the start of a battle, fire a special barrage. Every time the barrage is fired, increases the damage of the subsequent barrage. The skill can be activated for maximum 4 times each battle (damage based on skill level).</t>
  </si>
  <si>
    <t xml:space="preserve">Lily Root</t>
  </si>
  <si>
    <t xml:space="preserve">San Diego</t>
  </si>
  <si>
    <t xml:space="preserve">When firing Anti-Air Guns, 15% chance to increase fleet's Anti-Air by 30% (50%) for 8 seconds.</t>
  </si>
  <si>
    <t xml:space="preserve">Every 12 (8) times the main gun is fired, trigger Full Barrage - Atlanta Class I (II).</t>
  </si>
  <si>
    <t xml:space="preserve">Ultra Rare </t>
  </si>
  <si>
    <t xml:space="preserve">San Diego Kai-Exclusive Barrage</t>
  </si>
  <si>
    <t xml:space="preserve">Song of the Stars</t>
  </si>
  <si>
    <t xml:space="preserve">Increase own Anti-Air stat by 10% (25%). Every 20 seconds, 50% (100%) chance to release a powerful barrage.</t>
  </si>
  <si>
    <t xml:space="preserve">Every 16 times the main gun is fired, trigger Full Barrage - San Diego.</t>
  </si>
  <si>
    <t xml:space="preserve">San Juan</t>
  </si>
  <si>
    <t xml:space="preserve">When firing Anti-Air guns: 25% chance to increase Anti-Air for all Eagle Union ships by 15% (30%) for 5 seconds. When main gun shots hit 13 times: increases own Firepower by 3.5% (8%), effect can stack up to 3 times.</t>
  </si>
  <si>
    <t xml:space="preserve">Every 12 (8) times the main battery is fired, trigger Full Barrage - Atlanta-class I (II)</t>
  </si>
  <si>
    <t xml:space="preserve">Sandy</t>
  </si>
  <si>
    <t xml:space="preserve">1 second after battle starts, increases own Firepower, Torpedo stat, and ASW stat by 1% (10%), and reduces aviation damage taken by the fleet by 1.5% (6%) for 30 seconds.</t>
  </si>
  <si>
    <t xml:space="preserve">Every 14 seconds, releases a star-shaped barrage (damage increases with skill level).</t>
  </si>
  <si>
    <t xml:space="preserve">Every 15 (10) times the main battery is fired, trigger Full Barrage - Atlanta Class I (II)</t>
  </si>
  <si>
    <t xml:space="preserve">Star Spark!</t>
  </si>
  <si>
    <t xml:space="preserve">P007</t>
  </si>
  <si>
    <t xml:space="preserve">Seattle</t>
  </si>
  <si>
    <t xml:space="preserve">Seattle-Exclusive Barrage</t>
  </si>
  <si>
    <t xml:space="preserve">When an enemy aircraft is shot down within the fleet's AA range: increases own Firepower and Anti-Air by 5% (15%) for 8 seconds. If fleet has shot down 15 or more enemy aircraft during the battle: increases own Firepower by 5% (15%) and Reload by 10% (20%) for the rest of the battle.</t>
  </si>
  <si>
    <t xml:space="preserve">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</si>
  <si>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 xml:space="preserve">Every 15 (10) shots from the main guns, triggers Full Barrage - Seattle I (II)</t>
  </si>
  <si>
    <t xml:space="preserve">A Bow's String Has 2 Lines!</t>
  </si>
  <si>
    <t xml:space="preserve">Sendai</t>
  </si>
  <si>
    <t xml:space="preserve">While alive in fleet, increases Torpedo stat and Reload for all Light Cruisers and Destroyers in the same fleet by 3% (15%).</t>
  </si>
  <si>
    <t xml:space="preserve">Sendai Kai</t>
  </si>
  <si>
    <t xml:space="preserve">10 seconds after battle begins, and 20% (40%) chance to activate every 20 seconds after that: deploys a flare for 10 seconds. Enemy ships within the flare have their Evasion rate decreased by 25%. Flare will prioritize closest enemy target.</t>
  </si>
  <si>
    <t xml:space="preserve">Flares</t>
  </si>
  <si>
    <t xml:space="preserve">Sheffield</t>
  </si>
  <si>
    <t xml:space="preserve">All allied ships with lower health than Sheffield at the start of battle gain the effect: When taking damage, 10.0% (30.0%) chance to receive 20.0% (50.0%) less damage.</t>
  </si>
  <si>
    <t xml:space="preserve">Increases own main gun's critical rate by 4.5% (12.0%), and critical damage by 30%.</t>
  </si>
  <si>
    <t xml:space="preserve">Every 12(8) times the main battery is fired, trigger Full Barrage - Southampton Class I(II)</t>
  </si>
  <si>
    <t xml:space="preserve">Counterattack of the Barents Sea</t>
  </si>
  <si>
    <t xml:space="preserve">Sheffield Muse</t>
  </si>
  <si>
    <t xml:space="preserve">Sheffield Muse Barrage</t>
  </si>
  <si>
    <t xml:space="preserve">Blue Musical Note</t>
  </si>
  <si>
    <t xml:space="preserve">N//A</t>
  </si>
  <si>
    <t xml:space="preserve">After firing Main Gun 3 times, changes Main Gun ammo type to blue Musical Note for the next Main Gun shot.</t>
  </si>
  <si>
    <t xml:space="preserve">If placed in the back most position of the Escort Fleet (there must be at least 2 Escort ships alive): upon taking damage, all ships in the Escort fleet have 9% (24%) chance to take 12% (32%) less damage.</t>
  </si>
  <si>
    <t xml:space="preserve">Every 8 times the main battery is fired, trigger Full Barrage - Sheffield Muse I(II)</t>
  </si>
  <si>
    <t xml:space="preserve">Precise Arrow</t>
  </si>
  <si>
    <t xml:space="preserve">Shine and Dance</t>
  </si>
  <si>
    <t xml:space="preserve">Sirius</t>
  </si>
  <si>
    <t xml:space="preserve">Sirius-Exclusive Barrage</t>
  </si>
  <si>
    <t xml:space="preserve">Increases Air Power of all CVs/CVLs in the fleet by 1% (10%) and increases their hit rate against Destroyers, Light Cruisers, Heavy Cruisers by 1% (10%). During battle, increases own Firepower, Torpedo stat and Reload by 1.5% (7%) per CV/CVL in the same fleet (maximum is 21%).</t>
  </si>
  <si>
    <t xml:space="preserve">Increases own Firepower by 10% (20%).</t>
  </si>
  <si>
    <t xml:space="preserve">Every 15 (10) times the main gun is fired, trigger Full Barrage - Sirius I (II)</t>
  </si>
  <si>
    <t xml:space="preserve">Covering Fire</t>
  </si>
  <si>
    <t xml:space="preserve">Small Cleveland</t>
  </si>
  <si>
    <t xml:space="preserve">When sortied with any Cleveland-class ship, increases own Anti-Air by 5% (15%) and Accuracy by 5% (10%).</t>
  </si>
  <si>
    <t xml:space="preserve">If placed in leftmost position, reduces damage taken by self by 4.5% (12%). During battle, reduces shelling damage taken by Lena and Li'l Sandy by 3.5% (8%).</t>
  </si>
  <si>
    <t xml:space="preserve">Untrained Knight</t>
  </si>
  <si>
    <t xml:space="preserve">Southampton</t>
  </si>
  <si>
    <t xml:space="preserve">Every 12 (8) times the main battery is fired, trigger Full Barrage - Southampton-class I (II)</t>
  </si>
  <si>
    <t xml:space="preserve">St. Louis</t>
  </si>
  <si>
    <t xml:space="preserve">Every 20 seconds, 30% (60%) chance to increase own Firepower, Reload and Evasion by 10% (30%) for 10 seconds.</t>
  </si>
  <si>
    <t xml:space="preserve">Every 15 (10) shots from the main gun, trigger Full Barrage - Brooklyn-Class I (II)</t>
  </si>
  <si>
    <t xml:space="preserve">Anti-Air Mode	</t>
  </si>
  <si>
    <t xml:space="preserve">Swiftsure</t>
  </si>
  <si>
    <t xml:space="preserve">Swiftsure-Class Barrage</t>
  </si>
  <si>
    <t xml:space="preserve">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</si>
  <si>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 xml:space="preserve">During battle, increases own critical rate by 10% (30%) and increases own Accuracy against Destroyers and Light Cruisers by 4% (10%); 10% chance to reduce Evasion Rate for enemies hit by own main gun by 4% (10%) for 6 seconds.</t>
  </si>
  <si>
    <t xml:space="preserve">Every (8) shots from the main battery, triggers Full Barrage - Swiftsure Class I (II)</t>
  </si>
  <si>
    <t xml:space="preserve">Advanced Fire Control System</t>
  </si>
  <si>
    <t xml:space="preserve">Yat Sen</t>
  </si>
  <si>
    <t xml:space="preserve">Yat Sen-Exclusive Barrage</t>
  </si>
  <si>
    <t xml:space="preserve">When in the same fleet with Ning Hai and/or Ping Hai, reduces their damage and own damage taken by 8% (20%) and increases their Evasion Rate and own Evasion Rate by 15% (30%).</t>
  </si>
  <si>
    <t xml:space="preserve">Increases damage dealt against Sakura Empire ships by 5% (25%).</t>
  </si>
  <si>
    <t xml:space="preserve">After every 18 (12) attacks from the main guns, triggers Full Barrage - Yat-Sen I (II)</t>
  </si>
  <si>
    <t xml:space="preserve">Yuubari</t>
  </si>
  <si>
    <t xml:space="preserve">Yuubari-Exclusive Barrage</t>
  </si>
  <si>
    <t xml:space="preserve">After combat, increases experience gained by all Cruisers by 5% (15%).</t>
  </si>
  <si>
    <t xml:space="preserve">Every 12 (8) times the main battery is fired, trigger Full Barrage - Yuubari I (II)</t>
  </si>
  <si>
    <t xml:space="preserve">Yuubari Kai</t>
  </si>
  <si>
    <t xml:space="preserve">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</si>
  <si>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 xml:space="preserve">Erratic Inventor</t>
  </si>
  <si>
    <t xml:space="preserve">Admiral Graf Spee</t>
  </si>
  <si>
    <t xml:space="preserve">CA </t>
  </si>
  <si>
    <t xml:space="preserve">Deutschland-Class Barrage AP</t>
  </si>
  <si>
    <t xml:space="preserve">Deutschland-Class Barrage N</t>
  </si>
  <si>
    <t xml:space="preserve">Increases own damage against Destroyers and Light Cruisers by 15% (35%).</t>
  </si>
  <si>
    <t xml:space="preserve">Every 9 (6) shots from the main battery, triggers Full Barrage - Deutschland Class I (II)</t>
  </si>
  <si>
    <t xml:space="preserve">Pocket Battleship</t>
  </si>
  <si>
    <t xml:space="preserve">Admiral Hipper</t>
  </si>
  <si>
    <t xml:space="preserve">Admiral Hipper-Class Barrage</t>
  </si>
  <si>
    <t xml:space="preserve">Every 30 seconds, spawns 2 rotating shields; each shield can block 10 bullets. Shields last for 5 (15) seconds.</t>
  </si>
  <si>
    <t xml:space="preserve">When taking damage, 3.5% (8%) chance to decrease said damage by 50%.</t>
  </si>
  <si>
    <t xml:space="preserve">Every 9 (6) shots from the main battery, triggers Full Barrage - Admiral Hipper Class I (II)</t>
  </si>
  <si>
    <t xml:space="preserve">Defensive Shield</t>
  </si>
  <si>
    <t xml:space="preserve">Focused Defense</t>
  </si>
  <si>
    <t xml:space="preserve">Admiral Hipper Muse</t>
  </si>
  <si>
    <t xml:space="preserve">Admiral Hipper Muse Barrage</t>
  </si>
  <si>
    <t xml:space="preserve">Red Musical Note</t>
  </si>
  <si>
    <t xml:space="preserve">After battle starts, and 40% (70%) chance to activate every 20 seconds after that: changes Main Gun ammo to red Musical Note for 12 seconds.</t>
  </si>
  <si>
    <t xml:space="preserve">Every 30 seconds, spawns 2 rotating shields; each shield can block 10 bullets. Shields last for 5 (15) seconds. If placed in the frontmost position of the Escort fleet: activates skill right after battle starts.</t>
  </si>
  <si>
    <t xml:space="preserve">Every 8 shots from the main battery, triggers Full Barrage - Admiral Hipper Muse I (II)</t>
  </si>
  <si>
    <t xml:space="preserve">Passionate Fever</t>
  </si>
  <si>
    <t xml:space="preserve">Nerve Calming Shield</t>
  </si>
  <si>
    <t xml:space="preserve">Algerie</t>
  </si>
  <si>
    <t xml:space="preserve">Algerie-Class Barrage</t>
  </si>
  <si>
    <t xml:space="preserve">Aoba</t>
  </si>
  <si>
    <t xml:space="preserve">Aoba-Class Barrage</t>
  </si>
  <si>
    <t xml:space="preserve">Every 9 (6) shots from the main guns, triggers Full Barrage - Aoba Class I (II).</t>
  </si>
  <si>
    <t xml:space="preserve">Ashigara</t>
  </si>
  <si>
    <t xml:space="preserve">Myoukou-Class Barrage</t>
  </si>
  <si>
    <t xml:space="preserve">Every 20 seconds, 30% (70%) to launch a special barrage; also increases own Firepower by 10% (20%) and damage dealt to Cruisers by 10% (20%) for 10 seconds.</t>
  </si>
  <si>
    <t xml:space="preserve">Every 9 (6) shots from the main guns, triggers Full Barrage - Myoukou Class I (II)</t>
  </si>
  <si>
    <t xml:space="preserve">Flashing Blade of Surabaya</t>
  </si>
  <si>
    <t xml:space="preserve">Astoria</t>
  </si>
  <si>
    <t xml:space="preserve">New Orleans-Class Barrage</t>
  </si>
  <si>
    <t xml:space="preserve">When sortied with New Orleans-class ships, increase Accuracy and Anti-Air by 5% (20%) and Firepower by 4% (10%) for all New Orleans-class cruisers.</t>
  </si>
  <si>
    <t xml:space="preserve">Reduce gun-based damage from enemy destroyers and light cruisers by 5% (20%).</t>
  </si>
  <si>
    <t xml:space="preserve">Every 12 (8) times the main battery is fired, trigger Full Barrage - New Orleans-Class I (II)</t>
  </si>
  <si>
    <t xml:space="preserve">Nasty Asty</t>
  </si>
  <si>
    <t xml:space="preserve">Protective Armour</t>
  </si>
  <si>
    <t xml:space="preserve">Atago</t>
  </si>
  <si>
    <t xml:space="preserve">Takao-Class Barrage</t>
  </si>
  <si>
    <t xml:space="preserve">Increases damage dealt with HE ammo by 5% (15%), Burn damage by 20% (50%), and chance to ignite with HE ammo by 4.5% (12%).</t>
  </si>
  <si>
    <t xml:space="preserve">Every 9 (6) shots from the main battery, triggers Full Barrage - Takao Class I (II).</t>
  </si>
  <si>
    <t xml:space="preserve">Arsonist</t>
  </si>
  <si>
    <t xml:space="preserve">P010</t>
  </si>
  <si>
    <t xml:space="preserve">Azuma</t>
  </si>
  <si>
    <t xml:space="preserve">CB</t>
  </si>
  <si>
    <t xml:space="preserve">Special Cannon Training Small</t>
  </si>
  <si>
    <t xml:space="preserve">Special Cannon Training</t>
  </si>
  <si>
    <t xml:space="preserve">Special Cannon Training  Enhanced</t>
  </si>
  <si>
    <t xml:space="preserve">If equipped with a high caliber Main Gun (280mm or more): increases damage dealt with Main Gun by up to 15% (25%) depending on the distance the shells travel. Also increases Burn damage dealt to enemies by 20% (50%).</t>
  </si>
  <si>
    <t xml:space="preserve">Every 20 seconds: 30% (70%) chance to increase own Evasion by 10% (20%) and Accuracy by 20% (50%) for 12 seconds.</t>
  </si>
  <si>
    <t xml:space="preserve">Every 8 times Main Gun is fired: fires a special barrage. If equipped with Prototype 310mm gun, increases Main Gun efficiency by 4.5% (12%); also improves said barrage and fire it every 4 times Main Gun is fired.</t>
  </si>
  <si>
    <t xml:space="preserve">Thundering Mountains of Flames</t>
  </si>
  <si>
    <t xml:space="preserve">Mizuho's Intuition</t>
  </si>
  <si>
    <t xml:space="preserve">Barrage Gunnery Manual</t>
  </si>
  <si>
    <t xml:space="preserve">Baltimore</t>
  </si>
  <si>
    <t xml:space="preserve">Baltimore-Class Barrage</t>
  </si>
  <si>
    <t xml:space="preserve">Main gun's ammo type is changed to AP. Main Gun damage is increased depending on the skill level. Starting from level 8 of this skill, each bullet has 3.5% chance to inflict Armor Break to enemies with Heavy armor.</t>
  </si>
  <si>
    <t xml:space="preserve">When sortied with Eagle Union CV/CVLs, increases fleet's Anti-Air by 2.5% (7%), increases Eagle Union CV/CVLs Air Power by 5% (15%). If there is no Eagle CV/CVLs in fleet, increases own Firepower by 4.5% (12%) and Evasion by 5% (15%).</t>
  </si>
  <si>
    <t xml:space="preserve">Every 12 (8) times the main gun is fired, trigger Full Barrage - Baltimore-class I (II).</t>
  </si>
  <si>
    <t xml:space="preserve">APsolute Ammunition</t>
  </si>
  <si>
    <t xml:space="preserve">Adaptive Tactics</t>
  </si>
  <si>
    <t xml:space="preserve">C006</t>
  </si>
  <si>
    <t xml:space="preserve">Black Heart</t>
  </si>
  <si>
    <t xml:space="preserve">Lace Dance N</t>
  </si>
  <si>
    <t xml:space="preserve">Lace Dance AP</t>
  </si>
  <si>
    <t xml:space="preserve">Lace Dance HE</t>
  </si>
  <si>
    <t xml:space="preserve">Main gun damage is not affected by armor type (armor modifier is always 100%). Additionally, increase main gun damage by 5% (15%).</t>
  </si>
  <si>
    <t xml:space="preserve">Every 20 seconds: 20% (40%) chance to release a powerful barrage (damage depends on skill level).</t>
  </si>
  <si>
    <t xml:space="preserve">Tricolor Order</t>
  </si>
  <si>
    <t xml:space="preserve">Lace Dance</t>
  </si>
  <si>
    <t xml:space="preserve">Bremerton</t>
  </si>
  <si>
    <t xml:space="preserve">Cheshire</t>
  </si>
  <si>
    <t xml:space="preserve">Grin and Fire!</t>
  </si>
  <si>
    <t xml:space="preserve">CheshireBarrage</t>
  </si>
  <si>
    <t xml:space="preserve">Chicago</t>
  </si>
  <si>
    <t xml:space="preserve">Northampton-Class Barrage</t>
  </si>
  <si>
    <t xml:space="preserve">15% (30%) activation when firing main gun to inflict double damage.</t>
  </si>
  <si>
    <t xml:space="preserve">Every 12 (8) times the main gun is fired, trigger Full Barrage - Northampton Class I(II)</t>
  </si>
  <si>
    <t xml:space="preserve">Focused Strike</t>
  </si>
  <si>
    <t xml:space="preserve">Choukai</t>
  </si>
  <si>
    <t xml:space="preserve">Increases own Firepower by 4% (10%). Every 20 seconds, 30% (60%) chance to increase all Cruisers' Firepower and Torpedo stat by 5% (20%) for 10 seconds.</t>
  </si>
  <si>
    <t xml:space="preserve">When firing main gun, 15% (30%) chance to inflict double damage.</t>
  </si>
  <si>
    <t xml:space="preserve">Every 9 (6) shots from the main gun, triggers Full Barrage - Takao Class I (II).</t>
  </si>
  <si>
    <t xml:space="preserve">Leyte Gulf's Blitz</t>
  </si>
  <si>
    <t xml:space="preserve">Deutschland</t>
  </si>
  <si>
    <t xml:space="preserve">Increases damage against Destroyers and Light Cruisers by 15% (35%).</t>
  </si>
  <si>
    <t xml:space="preserve">Every 9 (6) shots from the main gun, triggers Full Barrage - Deutschland Class I (II).</t>
  </si>
  <si>
    <t xml:space="preserve">Dorsetshire</t>
  </si>
  <si>
    <t xml:space="preserve">Norfolk-Class Barrage</t>
  </si>
  <si>
    <t xml:space="preserve">Increases torpedo critical rate by 20% (40%), and torpedo critical damage by 50%.</t>
  </si>
  <si>
    <t xml:space="preserve">Every 9 (6) shots from the main guns, triggers Full Barrage - Norfolk Class I (II)</t>
  </si>
  <si>
    <t xml:space="preserve">Journey's End</t>
  </si>
  <si>
    <t xml:space="preserve">Drake</t>
  </si>
  <si>
    <t xml:space="preserve">DrakeBarrageI</t>
  </si>
  <si>
    <t xml:space="preserve">DrakeBarrageII</t>
  </si>
  <si>
    <t xml:space="preserve">DrakeSkill</t>
  </si>
  <si>
    <t xml:space="preserve">DrakeSec (0.99s)</t>
  </si>
  <si>
    <t xml:space="preserve">C042</t>
  </si>
  <si>
    <t xml:space="preserve">Elegant</t>
  </si>
  <si>
    <t xml:space="preserve">At the start of the battle: increases own Firepower by 1.5% (6%) per Kizuna AI ships other than self (can be stacked up to 4 times). If there are no other Kizuna AIs in your fleet: decreases damage taken by 5% (15%) for 30 seconds after battle starts.</t>
  </si>
  <si>
    <t xml:space="preserve">Decreases Burn duration by 3 seconds and decreases HE damage taken by 5% (15%).</t>
  </si>
  <si>
    <t xml:space="preserve">Connected</t>
  </si>
  <si>
    <t xml:space="preserve">Everything Is In Order</t>
  </si>
  <si>
    <t xml:space="preserve">Exeter</t>
  </si>
  <si>
    <t xml:space="preserve">York-Class Barrage</t>
  </si>
  <si>
    <t xml:space="preserve">Every 20 seconds: 25% chance to reduce damage taken by all ships in the fleet by 5% (15%) for 8 seconds. Does not stack with the same skill.</t>
  </si>
  <si>
    <t xml:space="preserve">Every 9 (6) shots from the main gun, triggers Full Barrage - York Class I (II).</t>
  </si>
  <si>
    <t xml:space="preserve">Defense Order</t>
  </si>
  <si>
    <t xml:space="preserve">Exeter Kai</t>
  </si>
  <si>
    <t xml:space="preserve">Increase damage dealt to heavy cruisers by 15% (25%).</t>
  </si>
  <si>
    <t xml:space="preserve">Furutaka</t>
  </si>
  <si>
    <t xml:space="preserve">Furutaka-Class Barrage</t>
  </si>
  <si>
    <t xml:space="preserve">Every 9 (6) shots from the main guns, triggers Full Barrage - Furutaka Class I(II)</t>
  </si>
  <si>
    <t xml:space="preserve">Furutaka Kai</t>
  </si>
  <si>
    <t xml:space="preserve">Houston</t>
  </si>
  <si>
    <t xml:space="preserve">When firing main gun: 20% chance to increase own Evasion by 60% (100%) for 15 seconds.</t>
  </si>
  <si>
    <t xml:space="preserve">Every 12 (8) times the main gun is fired, trigger Full Barrage - Northampton Class I (II)</t>
  </si>
  <si>
    <t xml:space="preserve">Galloping Ghost of Java Coast</t>
  </si>
  <si>
    <t xml:space="preserve">P003</t>
  </si>
  <si>
    <t xml:space="preserve">Ibuki</t>
  </si>
  <si>
    <t xml:space="preserve">Ibuki-Exclusive Barrage</t>
  </si>
  <si>
    <t xml:space="preserve">Flash of Lightning</t>
  </si>
  <si>
    <t xml:space="preserve">Increases torpedo critical rate by 20% (40%), and torpedo critical damage by 65%.</t>
  </si>
  <si>
    <t xml:space="preserve">When launching torpedoes: 15% (30%) chance to launch a special barrage (damage is based on skill level).</t>
  </si>
  <si>
    <t xml:space="preserve">Every 9 (6) shots from the main guns, triggers Full Barrage - Ibuki I (II)</t>
  </si>
  <si>
    <t xml:space="preserve">Body and Soul</t>
  </si>
  <si>
    <t xml:space="preserve">Flash of Lighting</t>
  </si>
  <si>
    <t xml:space="preserve">Indianapolis</t>
  </si>
  <si>
    <t xml:space="preserve">Portland-Class Barrage</t>
  </si>
  <si>
    <t xml:space="preserve">Every 30 seconds, spawns 2 rotating shields for 5 (15) seconds that block up to 8 shots. When broken, explodes and deals a small amount of damage to nearby enemies.</t>
  </si>
  <si>
    <t xml:space="preserve">3.5% (8%) chance to decrease damage received by 50%.</t>
  </si>
  <si>
    <t xml:space="preserve">Every 12 (8) times the main gun is fired, trigger Full Barrage - Portland Class I (II).</t>
  </si>
  <si>
    <t xml:space="preserve">Pandora's Box</t>
  </si>
  <si>
    <t xml:space="preserve">Kako</t>
  </si>
  <si>
    <t xml:space="preserve">Kako Kai</t>
  </si>
  <si>
    <t xml:space="preserve">Kent</t>
  </si>
  <si>
    <t xml:space="preserve">Kent-Class Barrage</t>
  </si>
  <si>
    <t xml:space="preserve">Every 9 (6) shots from the main guns, triggers Full Barrage - Kent Class I (II)</t>
  </si>
  <si>
    <t xml:space="preserve">Kinugasa</t>
  </si>
  <si>
    <t xml:space="preserve">Every 9 (6) shots from the main guns, triggers Full Barrage - Aoba Class I(II)</t>
  </si>
  <si>
    <t xml:space="preserve">Kumano</t>
  </si>
  <si>
    <t xml:space="preserve">Suyuza-Class Barrage</t>
  </si>
  <si>
    <t xml:space="preserve">Suyuza-Class Barrage 2</t>
  </si>
  <si>
    <t xml:space="preserve">Suyuza-Class Barrage EX</t>
  </si>
  <si>
    <t xml:space="preserve">After taking damage three times, reduces own damage taken by 3.5% (8.0%) for the rest of the battle. On the 2nd, 4th, and 6th battle of each sortie, 60 seconds after the battle starts, heal self by 4.0% (10.0%) of max HP. If there are 2 (or more) Sakura Empire ships in the same fleet as this ship: improves this ship's All Out Assault.</t>
  </si>
  <si>
    <t xml:space="preserve">ctivates All Out Assault I (II): Suzuya-class once every 9 (6) times the Main Guns are fired.</t>
  </si>
  <si>
    <t xml:space="preserve">Veil of Night</t>
  </si>
  <si>
    <t xml:space="preserve">C031</t>
  </si>
  <si>
    <t xml:space="preserve">Kuon</t>
  </si>
  <si>
    <t xml:space="preserve">Ten Sisters</t>
  </si>
  <si>
    <t xml:space="preserve">Depending on main battery shell type, increase same shell type damage by 10% (20%), decrease damage received from same shell type by 10% (20%).</t>
  </si>
  <si>
    <t xml:space="preserve">When taking damage, 4% (10%) chance to fire a special barrage; 5 seconds cool down after activation. The skill can be activated up to 6 times each battle.</t>
  </si>
  <si>
    <t xml:space="preserve">Four Gods Convert</t>
  </si>
  <si>
    <t xml:space="preserve">London</t>
  </si>
  <si>
    <t xml:space="preserve">London-Class Barrage</t>
  </si>
  <si>
    <t xml:space="preserve">Every 9 (6) shots from the main guns, triggers Full Barrage - London Class I (II).</t>
  </si>
  <si>
    <t xml:space="preserve">London Kai</t>
  </si>
  <si>
    <t xml:space="preserve">When firing main gun: 15% (30%) chance to inflict double damage. Upon destroying an enemy ship: increases own Accuracy by 0.5% (1.5%), stacking up to 8 times.</t>
  </si>
  <si>
    <t xml:space="preserve">Londonium</t>
  </si>
  <si>
    <t xml:space="preserve">Maya</t>
  </si>
  <si>
    <t xml:space="preserve">Increases own Reload by 15% (35%). Every torpedo launch has a 15% (30%) chance to launch another round.</t>
  </si>
  <si>
    <t xml:space="preserve">10,000 Nights: Trayastrimsa</t>
  </si>
  <si>
    <t xml:space="preserve">Minneapolis</t>
  </si>
  <si>
    <t xml:space="preserve">Upon destroying an enemy vessel, increase own Firepower by 5% (15%) and Reload by 10% (30%) for 12 seconds. This effect can activate once every second and does not stack. The duration will reset upon activation.</t>
  </si>
  <si>
    <t xml:space="preserve">When Health falls under 30%, decrease damage received by 5% (10%). Then, for the next 16 seconds, decrease speed by 2, and recover 1% (4%) max Health every 3 seconds. Can only occur once per battle.</t>
  </si>
  <si>
    <t xml:space="preserve">Every 12 (8) times the main gun is fired, trigger Full Barrage - New Orleans-Class I (II)</t>
  </si>
  <si>
    <t xml:space="preserve">Bull of the Lake Capital</t>
  </si>
  <si>
    <t xml:space="preserve">Dullahan</t>
  </si>
  <si>
    <t xml:space="preserve">Mogami Kai</t>
  </si>
  <si>
    <t xml:space="preserve">Mogami-Exclusive Barrage</t>
  </si>
  <si>
    <t xml:space="preserve">Whenever own torpedoes hit 5 times, increases own Firepower by 3.5% (8%). Can be stacked up to 3 times.</t>
  </si>
  <si>
    <t xml:space="preserve">Suppression Fire</t>
  </si>
  <si>
    <t xml:space="preserve">Myoukou</t>
  </si>
  <si>
    <t xml:space="preserve">Every 20 seconds: 10% (40%) chance to absorb 50% of damage taken by Escort Fleet for 8 seconds. Effect does not stack.</t>
  </si>
  <si>
    <t xml:space="preserve">Draw Fire</t>
  </si>
  <si>
    <t xml:space="preserve">Nachi</t>
  </si>
  <si>
    <t xml:space="preserve">C055</t>
  </si>
  <si>
    <t xml:space="preserve">Nakiri Ayame</t>
  </si>
  <si>
    <t xml:space="preserve">Ashura Shura Demon-god Killing Slash</t>
  </si>
  <si>
    <r>
      <rPr>
        <sz val="11"/>
        <color rgb="FF000000"/>
        <rFont val="Calibri"/>
        <family val="2"/>
        <charset val="1"/>
      </rPr>
      <t xml:space="preserve">Every 20 seconds, Ayame would attempt to enhance herself with "</t>
    </r>
    <r>
      <rPr>
        <sz val="11"/>
        <color rgb="FF000000"/>
        <rFont val="Microsoft YaHei"/>
        <family val="2"/>
        <charset val="1"/>
      </rPr>
      <t xml:space="preserve">式神</t>
    </r>
    <r>
      <rPr>
        <sz val="11"/>
        <color rgb="FF000000"/>
        <rFont val="Calibri"/>
        <family val="2"/>
        <charset val="1"/>
      </rPr>
      <t xml:space="preserve">", which has 40% (70%) chance to increase damage dealt by her by 3.5% (8%); effect can stack up to 3 times.</t>
    </r>
  </si>
  <si>
    <t xml:space="preserve">Every 20 (15) seconds, triggers a special Ashura slash that has 50% chance to inflict Armor Break on hit enemies, lasting for 6 seconds.</t>
  </si>
  <si>
    <t xml:space="preserve">鬼神☆百鬼</t>
  </si>
  <si>
    <t xml:space="preserve">C002</t>
  </si>
  <si>
    <t xml:space="preserve">Noire</t>
  </si>
  <si>
    <t xml:space="preserve">When being attacked, 3.5% (8%) chance to increase own damage by 10% (25%) for 8 seconds.</t>
  </si>
  <si>
    <t xml:space="preserve">Medistation S</t>
  </si>
  <si>
    <t xml:space="preserve">Norfolk</t>
  </si>
  <si>
    <t xml:space="preserve">Upon taking damage: 15% chance to spawn a frontal shield for 5 (15) seconds that blocks up to 12 shots.</t>
  </si>
  <si>
    <t xml:space="preserve">Every 9 (6) shots from the main guns, triggers Full Barrage - Norfolk I (II)</t>
  </si>
  <si>
    <t xml:space="preserve">Frontal Armor</t>
  </si>
  <si>
    <t xml:space="preserve">Northampton</t>
  </si>
  <si>
    <t xml:space="preserve">Increases Firepower of Cruisers in the fleet by 5% (15%). Does not stack with other command skills that have similar effect.</t>
  </si>
  <si>
    <t xml:space="preserve">Every 12 (8) times the main gun is fired, triggers Full Barrage - Northampton Class I (II)</t>
  </si>
  <si>
    <t xml:space="preserve">Pensacola</t>
  </si>
  <si>
    <t xml:space="preserve">Pensacola-Class Barrage</t>
  </si>
  <si>
    <t xml:space="preserve">25% activation every 20 seconds: Increase fleet's Reload by 5%(25%) for 8 seconds. Does not stack with the same skill</t>
  </si>
  <si>
    <t xml:space="preserve">Every 12 (8) times the main gun is fired, trigger Full Barrage - Pensacola Class I(II)</t>
  </si>
  <si>
    <t xml:space="preserve">Portland</t>
  </si>
  <si>
    <t xml:space="preserve">If sortied with Indianapolis, increases own Firepower, Anti-Air, and Reload by 5% (15%).</t>
  </si>
  <si>
    <t xml:space="preserve">Every 12 (8) times the main gun is fired, triggers Full Barrage - Portland Class I (II).</t>
  </si>
  <si>
    <t xml:space="preserve">My Sister's Really Great</t>
  </si>
  <si>
    <t xml:space="preserve">Portland Kai</t>
  </si>
  <si>
    <t xml:space="preserve">Prinz Eugen</t>
  </si>
  <si>
    <t xml:space="preserve">Every 20 seconds: 40% (70%) chance to spawn 3 rotating shields that absorb 10 shots each; lasts 10 seconds.</t>
  </si>
  <si>
    <t xml:space="preserve">Every 9 (6) shots from the main guns, triggers Full Barrage - Admiral Hipper Class I (II)</t>
  </si>
  <si>
    <t xml:space="preserve">Unbreakable Shield</t>
  </si>
  <si>
    <t xml:space="preserve">Prinz Heinrich</t>
  </si>
  <si>
    <t xml:space="preserve">PrinzHeinrichBarrage</t>
  </si>
  <si>
    <t xml:space="preserve">P-Class Barrage</t>
  </si>
  <si>
    <t xml:space="preserve">Quincy</t>
  </si>
  <si>
    <t xml:space="preserve">P005</t>
  </si>
  <si>
    <t xml:space="preserve">Roon</t>
  </si>
  <si>
    <t xml:space="preserve">Roon-Exclusive Barrage AP</t>
  </si>
  <si>
    <t xml:space="preserve">Roon-Exclusive Barrage HE</t>
  </si>
  <si>
    <t xml:space="preserve">Main gun property is changed to HE. When firing main gun, increases own Reload by 1% (3.5%) (Can be stacked up to 12 times). Additionally, alternates main gun property between HE and AP after every 2 rounds of main gun firing.</t>
  </si>
  <si>
    <t xml:space="preserve">Every 30 seconds: spawns 4 rotating shields that absorb 8 shots each; lasts 5 (15) seconds.</t>
  </si>
  <si>
    <t xml:space="preserve">Every 12 (8) shots from the main guns, triggers Full Barrage - Roon I (II)</t>
  </si>
  <si>
    <t xml:space="preserve">Professional Reloader</t>
  </si>
  <si>
    <t xml:space="preserve">All Rounded Armor</t>
  </si>
  <si>
    <t xml:space="preserve">P006</t>
  </si>
  <si>
    <t xml:space="preserve">Saint Louis-Exclusive Barrage</t>
  </si>
  <si>
    <t xml:space="preserve">Increases own HE damage dealt by 15% (35%), and lowers chance to ignite by 3%.</t>
  </si>
  <si>
    <t xml:space="preserve">Increases own Speed by 3 (8). After battle begins: increases own Evasion by 15% (35%) for 40 seconds.</t>
  </si>
  <si>
    <t xml:space="preserve">Every 12 (8) shots from the main guns, triggers Full Barrage - Saint Louis I (II)</t>
  </si>
  <si>
    <t xml:space="preserve">Enforced HE Ammo</t>
  </si>
  <si>
    <t xml:space="preserve">Engine Boost</t>
  </si>
  <si>
    <t xml:space="preserve">Salt Lake City</t>
  </si>
  <si>
    <t xml:space="preserve">Every 12 (8) times the main gun is fired, triggers Full Barrage - Pensacola Class I (II)</t>
  </si>
  <si>
    <t xml:space="preserve">Shropshire</t>
  </si>
  <si>
    <t xml:space="preserve">When firing main gun: 15% (25%) chance to fire an extra round.</t>
  </si>
  <si>
    <t xml:space="preserve">Every 9 (6) shots from the main guns, triggers Full Barrage - London Class I (II)</t>
  </si>
  <si>
    <t xml:space="preserve">Chain Cannon</t>
  </si>
  <si>
    <t xml:space="preserve">Suffolk</t>
  </si>
  <si>
    <t xml:space="preserve">Suffolk Kai</t>
  </si>
  <si>
    <t xml:space="preserve">Sussex</t>
  </si>
  <si>
    <t xml:space="preserve">Suzuya</t>
  </si>
  <si>
    <t xml:space="preserve">Suyuza-Exclusive Barrage</t>
  </si>
  <si>
    <t xml:space="preserve">Suyuza-Exclusive Barrage (Enhanced) AP</t>
  </si>
  <si>
    <t xml:space="preserve">Suyuza-Exclusive Barrage (Enhanced) HE</t>
  </si>
  <si>
    <t xml:space="preserve">When own main battery hit 8 times, increases own Firepower by 1.5% (5%) and Reload by 10% (25%). Can be stacked 3 times. When effect is stacked 3 times, enhances barrage pattern.</t>
  </si>
  <si>
    <t xml:space="preserve">Every 9 (6) times the main battery is fired, trigger Full Barrage - Suzuya I (II)</t>
  </si>
  <si>
    <t xml:space="preserve">Destroyer of Darkness</t>
  </si>
  <si>
    <t xml:space="preserve">Takao</t>
  </si>
  <si>
    <t xml:space="preserve">Trento</t>
  </si>
  <si>
    <t xml:space="preserve">Trento-Class Barrage</t>
  </si>
  <si>
    <t xml:space="preserve">Every 9 (6) times the main battery is fired, triggers Full Barrage - Trento-class I (II).</t>
  </si>
  <si>
    <t xml:space="preserve">Vincennes</t>
  </si>
  <si>
    <t xml:space="preserve">Wichita</t>
  </si>
  <si>
    <t xml:space="preserve">Wichita-Exclusive Barrage</t>
  </si>
  <si>
    <t xml:space="preserve">Every 12 (8) times the main gun is fired, trigger Full Barrage - Wichita I (II)</t>
  </si>
  <si>
    <t xml:space="preserve">York</t>
  </si>
  <si>
    <t xml:space="preserve">When firing (includes main gun, secondary, and torpedoes): 20% chance to increase own Firepower by 20% (40%) for 8 seconds.</t>
  </si>
  <si>
    <t xml:space="preserve">Armageddon Cannon</t>
  </si>
  <si>
    <t xml:space="preserve">York Kai</t>
  </si>
  <si>
    <t xml:space="preserve">Decreases damage taken from burning and suicide boat by 20% (40%) and from HE shells by 5% (15%). Increases secondary gun's critical hit chance by 40% (70%) and ignores armor type (damage based on Skill Level).</t>
  </si>
  <si>
    <t xml:space="preserve">Terror Field</t>
  </si>
  <si>
    <t xml:space="preserve">Zara</t>
  </si>
  <si>
    <t xml:space="preserve">Zara-Class Barrage</t>
  </si>
  <si>
    <t xml:space="preserve">Upon receiving enemy attacks: 8% (18%) chance to deploy 2 shields that can each block up to 10 shells (shields last for 12 seconds).</t>
  </si>
  <si>
    <t xml:space="preserve">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</si>
  <si>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 xml:space="preserve">Every 12 (8) times the main battery is fired, triggers Full Barrage - Zara-class I (II)</t>
  </si>
  <si>
    <t xml:space="preserve">Terni Shields</t>
  </si>
  <si>
    <t xml:space="preserve">Semi-Armor Piercing High-Explosive</t>
  </si>
  <si>
    <t xml:space="preserve">Type1</t>
  </si>
  <si>
    <t xml:space="preserve">Type2</t>
  </si>
  <si>
    <t xml:space="preserve">Type3</t>
  </si>
  <si>
    <t xml:space="preserve">Plane2</t>
  </si>
  <si>
    <t xml:space="preserve">Barg5</t>
  </si>
  <si>
    <t xml:space="preserve">Barg6</t>
  </si>
  <si>
    <t xml:space="preserve">Barg7</t>
  </si>
  <si>
    <t xml:space="preserve">Abercrombie</t>
  </si>
  <si>
    <t xml:space="preserve">BM</t>
  </si>
  <si>
    <t xml:space="preserve">Artillery Volley</t>
  </si>
  <si>
    <t xml:space="preserve">15 seconds after the start of battle and every 20 seconds after that, 30% (60%) chance to fire a special barrage (damage based on skill level).</t>
  </si>
  <si>
    <t xml:space="preserve">Alabama</t>
  </si>
  <si>
    <t xml:space="preserve">Lucky A</t>
  </si>
  <si>
    <t xml:space="preserve">Lucky A Small</t>
  </si>
  <si>
    <t xml:space="preserve">Increases own Evasion by 3 (12), and reduces torpedo damage taken by self by 5% (20%). Every 20 seconds: 45% (75%) chance to fire a barrage, damage scales with skill level.</t>
  </si>
  <si>
    <t xml:space="preserve">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</si>
  <si>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 xml:space="preserve">Just Gettin' Fired Up</t>
  </si>
  <si>
    <t xml:space="preserve">Amagi</t>
  </si>
  <si>
    <t xml:space="preserve">BB </t>
  </si>
  <si>
    <t xml:space="preserve">True Strike Straight</t>
  </si>
  <si>
    <t xml:space="preserve">True Strike Arch</t>
  </si>
  <si>
    <t xml:space="preserve">True Strike AP</t>
  </si>
  <si>
    <t xml:space="preserve">True Strike TP</t>
  </si>
  <si>
    <t xml:space="preserve">While alive in fleet, decreases all enemies' Firepower, Torpedo stat and Aviation by 3% (9%).</t>
  </si>
  <si>
    <t xml:space="preserve">While alive in fleet, reduces Burn damage taken by the Main Fleet by 5% (15%) and increases their Evasion Rate by 4% (10%).</t>
  </si>
  <si>
    <t xml:space="preserve">When firing main gun: 40% (70%) chance to launch a frontal barrage (damage scales with skill level). During battle, if fleet consists of 4 or more Sakura Empire ships, decreases loading time of the first main gun salvo by 25% (45%).</t>
  </si>
  <si>
    <t xml:space="preserve">Ageless Phoenix</t>
  </si>
  <si>
    <t xml:space="preserve">Efficacious Planning</t>
  </si>
  <si>
    <t xml:space="preserve">Crippling Strike</t>
  </si>
  <si>
    <t xml:space="preserve">Arizona</t>
  </si>
  <si>
    <t xml:space="preserve">When firing main gun, 50% chance to heal the Escort Fleet for 4% (10%) of their max Health.</t>
  </si>
  <si>
    <t xml:space="preserve">Eagle's Tears</t>
  </si>
  <si>
    <t xml:space="preserve">Arkhangelsk</t>
  </si>
  <si>
    <t xml:space="preserve">Noble Strike</t>
  </si>
  <si>
    <t xml:space="preserve">Bismarck</t>
  </si>
  <si>
    <t xml:space="preserve">Unyielding Power</t>
  </si>
  <si>
    <t xml:space="preserve">Unyielding Power Small</t>
  </si>
  <si>
    <t xml:space="preserve">When firing main gun, the first salvo round is guaranteed to critically hit. When equipped with CL guns in the secondary slot, increase detection range and shooting range to 65 (90), but decrease damage done by secondary guns by 35%.</t>
  </si>
  <si>
    <t xml:space="preserve">When used as the flagship, 40% (70%) to trigger a barrage when firing main gun. Damage dealt by Ironblood carriers is increased by 10% (20%).</t>
  </si>
  <si>
    <t xml:space="preserve">Increase critical chance of cannons, torpedoes and aircraft by 4% (20%), reload by 4.5% (12%) for Ironblood ships. Increase damage dealt by Tirpitz by 20% (40%).</t>
  </si>
  <si>
    <t xml:space="preserve">Wahrheit</t>
  </si>
  <si>
    <t xml:space="preserve">Ironblood's Will</t>
  </si>
  <si>
    <t xml:space="preserve">California</t>
  </si>
  <si>
    <t xml:space="preserve">Champagne</t>
  </si>
  <si>
    <t xml:space="preserve">FFNS</t>
  </si>
  <si>
    <t xml:space="preserve">SP</t>
  </si>
  <si>
    <t xml:space="preserve">SP2</t>
  </si>
  <si>
    <t xml:space="preserve">Colorado</t>
  </si>
  <si>
    <t xml:space="preserve">Big Seven</t>
  </si>
  <si>
    <t xml:space="preserve">When firing main gun: 20% (40%) chance to fire a frontal barrage (damage increases with skill).</t>
  </si>
  <si>
    <t xml:space="preserve">BIG SEVEN</t>
  </si>
  <si>
    <t xml:space="preserve">Conte di Cavour</t>
  </si>
  <si>
    <t xml:space="preserve">Fading Memories of Glory</t>
  </si>
  <si>
    <t xml:space="preserve">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</si>
  <si>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 xml:space="preserve">Concerto of Blood</t>
  </si>
  <si>
    <t xml:space="preserve">Every 40 (20) seconds, fires a barrage towards the farthest target. Enemies hit by the barrage have their movement speed decreased by 40% for 6 seconds.</t>
  </si>
  <si>
    <t xml:space="preserve">Once per battle, increases damage dealt with the first Main Gun salvo by 20% (50%). Enemies hit by own Main Gun salvoes take 3% (12%) more damage for 8 seconds.</t>
  </si>
  <si>
    <t xml:space="preserve">Trepidation of Destruction</t>
  </si>
  <si>
    <t xml:space="preserve">Dunkerque</t>
  </si>
  <si>
    <t xml:space="preserve">Frontal Barrage</t>
  </si>
  <si>
    <t xml:space="preserve">Frontal Barrage Small</t>
  </si>
  <si>
    <t xml:space="preserve">20% (50%) activation upon firing main gun: launches a frontal barrage.</t>
  </si>
  <si>
    <t xml:space="preserve">Erebus</t>
  </si>
  <si>
    <t xml:space="preserve">Infinite Darkness 1</t>
  </si>
  <si>
    <t xml:space="preserve">Infinite Darkness 2</t>
  </si>
  <si>
    <t xml:space="preserve">Every 20 seconds: 30% (60%) chance to fire a special barrage at enemies (damage based on skill level).</t>
  </si>
  <si>
    <t xml:space="preserve">Infinite Darkness</t>
  </si>
  <si>
    <t xml:space="preserve">P011</t>
  </si>
  <si>
    <t xml:space="preserve">FdG</t>
  </si>
  <si>
    <t xml:space="preserve">Decisive</t>
  </si>
  <si>
    <t xml:space="preserve">Chaotic Sonata</t>
  </si>
  <si>
    <t xml:space="preserve">Chaotic Sonata Small</t>
  </si>
  <si>
    <t xml:space="preserve">Upon taking damage OR when an enemy ship enters a certain range: fires a Level 1 (10) barrage with Secondary Guns that ignores the enemy's armor type (damage is based on skill level). Has a cooldown of 15 seconds.</t>
  </si>
  <si>
    <t xml:space="preserve">Every odd salvo increases own Reload by 30% (50%) and damage by 10% (20%) until the next salvo is fired. Every even salvo increases critical rate by 10% (20%) and critical damage by 30% (50%) until the next salvo is fired.</t>
  </si>
  <si>
    <t xml:space="preserve">When own HP is between: 100% and 70% of max HP: increases own Firepower by 10% (20%), 70% and 30% of max HP: increases own Firepower by 4% (10%) and decreases damage taken by self by 4% (10%), 30% and 1% of max HP: decreases damage taken by self by 10% (20%).</t>
  </si>
  <si>
    <t xml:space="preserve">Symphony of Destruction</t>
  </si>
  <si>
    <t xml:space="preserve">Sonata of Chaos</t>
  </si>
  <si>
    <t xml:space="preserve">Rhapsody of Darkness</t>
  </si>
  <si>
    <t xml:space="preserve">Fusou</t>
  </si>
  <si>
    <t xml:space="preserve">Increase own Firepower by 10% (20%).</t>
  </si>
  <si>
    <t xml:space="preserve">Fusou Kai</t>
  </si>
  <si>
    <t xml:space="preserve">BBV</t>
  </si>
  <si>
    <t xml:space="preserve">B</t>
  </si>
  <si>
    <t xml:space="preserve">Air Reserve</t>
  </si>
  <si>
    <t xml:space="preserve">Once per battle, when launching the first airstrike: perform an additional aerial machine-gun barrage (damage increases with skill level).</t>
  </si>
  <si>
    <t xml:space="preserve">Gangut</t>
  </si>
  <si>
    <t xml:space="preserve">P012</t>
  </si>
  <si>
    <t xml:space="preserve">Gascogne</t>
  </si>
  <si>
    <t xml:space="preserve">Accurate Operations Protocol W</t>
  </si>
  <si>
    <t xml:space="preserve">Accurate Operations Protocol B</t>
  </si>
  <si>
    <t xml:space="preserve">Accurate Operations Protocol R</t>
  </si>
  <si>
    <t xml:space="preserve">When Health falls below 50%: increases own Evasion by 15% (30%) and recovers 2% of max HP every 2 seconds for 8 seconds. Can only activate twice per battle.</t>
  </si>
  <si>
    <t xml:space="preserve">Main Gun can be fired twice per reload, and each salvo can be fired independently. All manually aimed salvoes deal 25% (40%) more damage. Every 20 seconds after battle starts: 50% (100%) chance to fire a special barrage (damage is based on skill level).</t>
  </si>
  <si>
    <t xml:space="preserve">Perceptive Suppression Module</t>
  </si>
  <si>
    <t xml:space="preserve">Accurate Operation Protocols</t>
  </si>
  <si>
    <t xml:space="preserve">Gascogne Muse</t>
  </si>
  <si>
    <t xml:space="preserve">Red Musical Note BB</t>
  </si>
  <si>
    <t xml:space="preserve">Blue Musical Note BB</t>
  </si>
  <si>
    <t xml:space="preserve">Main Gun ammo is changed to Musical Note ammo, switched between red and blue notes after firing (damage depends on skill level). Also, once per battle: reduces Reload time for the first Main Gun volley by 5% (25%).</t>
  </si>
  <si>
    <t xml:space="preserve">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</si>
  <si>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 xml:space="preserve">Cœur Battant</t>
  </si>
  <si>
    <t xml:space="preserve">Leader of the Band</t>
  </si>
  <si>
    <t xml:space="preserve">P008</t>
  </si>
  <si>
    <t xml:space="preserve">Georgia</t>
  </si>
  <si>
    <t xml:space="preserve">Heavy Barrel Blaster</t>
  </si>
  <si>
    <t xml:space="preserve">Heavy Barrel Blaster Small</t>
  </si>
  <si>
    <t xml:space="preserve">Decreases equipped Main Gun Spread by 3. Increases own damage dealt to Heavy Cruisers, Large Cruisers, Battlecruisers, Battleships, and Aviation Battleships by 10% (20%).</t>
  </si>
  <si>
    <t xml:space="preserve">When firing Main Guns: 50% (80%) chance to fire a special barrage.</t>
  </si>
  <si>
    <t xml:space="preserve">Ironsight Caliber</t>
  </si>
  <si>
    <t xml:space="preserve">Heavy Barrel Buster</t>
  </si>
  <si>
    <t xml:space="preserve">Giulio Cesare</t>
  </si>
  <si>
    <t xml:space="preserve">Sardegnian Coercion Big</t>
  </si>
  <si>
    <t xml:space="preserve">Sardegnian Coercion Small</t>
  </si>
  <si>
    <t xml:space="preserve">When firing Main Gun: 20% (50%) chance to fire a special barrage (damage is based on skill level).</t>
  </si>
  <si>
    <t xml:space="preserve">Sardegnian Coercion</t>
  </si>
  <si>
    <t xml:space="preserve">Gneisenau</t>
  </si>
  <si>
    <t xml:space="preserve">Torpedo Launch</t>
  </si>
  <si>
    <t xml:space="preserve">Increases own Firepower by 15% (25%).</t>
  </si>
  <si>
    <t xml:space="preserve">Every 35 (20) seconds, fires 3 torpedoes towards the front (damage depends on skill level).</t>
  </si>
  <si>
    <t xml:space="preserve">Commerce Raiding</t>
  </si>
  <si>
    <t xml:space="preserve">Haruna</t>
  </si>
  <si>
    <t xml:space="preserve">When firing main gun: increases own Firepower and Anti-Air by 1.5% (6%). Can be stacked up to 4 times.</t>
  </si>
  <si>
    <t xml:space="preserve">Warship of the Dawn's Radiance</t>
  </si>
  <si>
    <t xml:space="preserve">Hiei</t>
  </si>
  <si>
    <t xml:space="preserve">10 seconds after start of battle and 20% chance every 20 seconds after: For 8 seconds, receives 20% (50%) of damage other backline ships take, and increases damage dealt to a random enemy by 8% (20%).</t>
  </si>
  <si>
    <t xml:space="preserve">Prestige</t>
  </si>
  <si>
    <t xml:space="preserve">Hood</t>
  </si>
  <si>
    <t xml:space="preserve">Glory of the Royal Navy</t>
  </si>
  <si>
    <t xml:space="preserve">When firing main gun: 40% (70%) chance to launch a frontal barrage (damage based on skill level), and increase Reload by 20% (40%) for all ships in the Main Fleet for 8 seconds.</t>
  </si>
  <si>
    <t xml:space="preserve">Howe</t>
  </si>
  <si>
    <t xml:space="preserve">Hyuuga</t>
  </si>
  <si>
    <t xml:space="preserve">Increases Firepower of the Main Fleet by 5% (15%). Does not stack with other command skills that have similar effect.</t>
  </si>
  <si>
    <t xml:space="preserve">Artillery Command - Main Fleet</t>
  </si>
  <si>
    <t xml:space="preserve">Hyuuga Kai</t>
  </si>
  <si>
    <t xml:space="preserve">Melee Artillery</t>
  </si>
  <si>
    <t xml:space="preserve">Can activate only 10 seconds after the start of battle. When enemies enter a certain range, fires a Lvl 1 (10) special barrage. Can activate only once every 10 seconds.</t>
  </si>
  <si>
    <t xml:space="preserve">Ise</t>
  </si>
  <si>
    <t xml:space="preserve">Aviation Battleship Fleet (1000lb)</t>
  </si>
  <si>
    <t xml:space="preserve">Aviation Battleship Fleet (100lb)</t>
  </si>
  <si>
    <t xml:space="preserve">Reduces airstrike reload time by 5% (25%) and adds additional Lvl 1 (10) Suisei bombers for the first 2 airstrikes. If sortied with any CVs/CVLs, effect is applied to all of own airstrikes.</t>
  </si>
  <si>
    <t xml:space="preserve">Aviation Battleship Fleet</t>
  </si>
  <si>
    <t xml:space="preserve">P004</t>
  </si>
  <si>
    <t xml:space="preserve">Izumo</t>
  </si>
  <si>
    <t xml:space="preserve"> A Legend's Inheritance EX N</t>
  </si>
  <si>
    <t xml:space="preserve"> A Legend's Inheritance EX AP</t>
  </si>
  <si>
    <t xml:space="preserve">When firing main gun: 40% (70%) chance to launch a special barrage (damage is based on skill level).</t>
  </si>
  <si>
    <t xml:space="preserve">Increase the probability of being set on fire by 6% max (exact value depends on enemy's gun caliber) and increases duration of any fires by 3 seconds. Reduces AP damage taken by self by 15% (30%).</t>
  </si>
  <si>
    <t xml:space="preserve">A Legend's Inheritance</t>
  </si>
  <si>
    <t xml:space="preserve">Specialize Armor</t>
  </si>
  <si>
    <t xml:space="preserve">Jean Bart</t>
  </si>
  <si>
    <t xml:space="preserve">During battle: every first main gun salvo deals 40% (60%) more damage. All manually aimed salvo damage bonuses are increased to 40% (60%).</t>
  </si>
  <si>
    <t xml:space="preserve">If equipped with the Quadruple 380mm (Mle 1935) gun, main gun critical rate is increased by 10% (30%) and main gun critical damage is increased by 20% (50%).</t>
  </si>
  <si>
    <t xml:space="preserve">Pirate's Soul</t>
  </si>
  <si>
    <t xml:space="preserve">Last Fire</t>
  </si>
  <si>
    <t xml:space="preserve">Kaga (Battleship)</t>
  </si>
  <si>
    <t xml:space="preserve">Fight to Win! N</t>
  </si>
  <si>
    <t xml:space="preserve">Fight to Win! HE</t>
  </si>
  <si>
    <t xml:space="preserve">Conquer to Seize!</t>
  </si>
  <si>
    <t xml:space="preserve">When firing main gun: 30% (50%) chance to launch a frontal barrage (damage is based on skill level).</t>
  </si>
  <si>
    <t xml:space="preserve">10 seconds after battle starts and every 40 (20) seconds after that: launches a torpedo barrage (damage is based on skill level).</t>
  </si>
  <si>
    <t xml:space="preserve">Fight To Win!</t>
  </si>
  <si>
    <t xml:space="preserve">Conquer To Loot!</t>
  </si>
  <si>
    <t xml:space="preserve">Kii</t>
  </si>
  <si>
    <t xml:space="preserve">Kii Fleet Strategy 1</t>
  </si>
  <si>
    <t xml:space="preserve">Kii Fleet Strategy 2</t>
  </si>
  <si>
    <t xml:space="preserve">Kii Fleet Strategy 3</t>
  </si>
  <si>
    <t xml:space="preserve">Kii Fleet Strategy 4</t>
  </si>
  <si>
    <t xml:space="preserve">Every 20 seconds after the start of the battle, 45.0% (75.0%) chance to fire a special barrage (barrage damage scales with skill level).</t>
  </si>
  <si>
    <t xml:space="preserve">As long as this ship is afloat, increase the AA stat of each of your Sakura Empire main fleet ships by 5.0% (15.0%). If there are three or more Sakura Empire ships in your fleet (including this ship), increase this ship's FP by 1.0% (10.0%) and increase the TRP of each vanguard ship in your fleet by 1.0% (10.0%).</t>
  </si>
  <si>
    <t xml:space="preserve">Kii Fleet Strategy</t>
  </si>
  <si>
    <t xml:space="preserve">Stalwart Advance</t>
  </si>
  <si>
    <t xml:space="preserve">King George V</t>
  </si>
  <si>
    <t xml:space="preserve">Effective Armament Enhanced</t>
  </si>
  <si>
    <t xml:space="preserve">Effective Armament Small</t>
  </si>
  <si>
    <t xml:space="preserve">Effective Armament</t>
  </si>
  <si>
    <t xml:space="preserve">During battle, 40% (70%) chance of triggering a barrage every 24 seconds. When equipped with Quadruple 356mm main cannon, reduces loading time of the first main salvo by 55% (75%), increases critical chance of main cannon by 10% (20%), reduces spread by 2 and enhances barrage.</t>
  </si>
  <si>
    <t xml:space="preserve">Increase own damage dealt to Sakura Empire, Ironblood, Sardegna Empire and Siren factions by 4% (10%). If sortied with 3 or more Royal Navy ships: increases own Firepower, Reload, Evasion and Anti-Air by 4% (20%).</t>
  </si>
  <si>
    <t xml:space="preserve">Glory of the Sun Which Never Sets</t>
  </si>
  <si>
    <t xml:space="preserve">Kirishima</t>
  </si>
  <si>
    <t xml:space="preserve">Blaze of Glory</t>
  </si>
  <si>
    <t xml:space="preserve">Increases own damage against Battleships by 5% (15%). When firing main gun: 30% (60%) chance to launch a frontal Sanshikidan barrage (number of bullets based on skill level).</t>
  </si>
  <si>
    <t xml:space="preserve">Kongou</t>
  </si>
  <si>
    <t xml:space="preserve">While alive in fleet, increases Firepower, Accuracy by 5% (15%) and Evasion by 5% (20%) for all Kongou-class ships.</t>
  </si>
  <si>
    <t xml:space="preserve">Gloriously Roaring First Ship</t>
  </si>
  <si>
    <t xml:space="preserve">Little Hiei</t>
  </si>
  <si>
    <t xml:space="preserve">Torpedoes, Launch!</t>
  </si>
  <si>
    <t xml:space="preserve">Every 35 (20) seconds, launches a torpedo barrage (damage increases with Skill Level).</t>
  </si>
  <si>
    <t xml:space="preserve">Every 20 seconds during battle, reduces main fleet ignition damage by 30% (60%) for 8 seconds.</t>
  </si>
  <si>
    <t xml:space="preserve">Holy Mountain's Little Witch</t>
  </si>
  <si>
    <t xml:space="preserve">Little Renown</t>
  </si>
  <si>
    <t xml:space="preserve">Littorio</t>
  </si>
  <si>
    <t xml:space="preserve">Rose Bombardamento</t>
  </si>
  <si>
    <t xml:space="preserve">Rose Bombardamento Enhanced</t>
  </si>
  <si>
    <t xml:space="preserve">Rose Bombardamento Small</t>
  </si>
  <si>
    <t xml:space="preserve">When firing main gun: 35% (65%) chance to fire a special barrage (damage is based on skill level). If equipped with the Triple 381mm Main Gun (M1934): improves the barrage and increases its proc chance by 10%.</t>
  </si>
  <si>
    <t xml:space="preserve">After battle starts, deploys 2 shields that can each block up to 1 (2) enemy torpedoes around this ship and the ship in the front most position in the Escort Fleet. Additionally, increases own Firepower by 4% (20%) for her first 3 battles of each sortie.</t>
  </si>
  <si>
    <t xml:space="preserve">Rosa Bombardamento</t>
  </si>
  <si>
    <t xml:space="preserve">Sardegnian Discipline</t>
  </si>
  <si>
    <t xml:space="preserve">Maryland</t>
  </si>
  <si>
    <t xml:space="preserve">When firing main gun: 20% (40%) chance to fire a frontal barrage (damage increases with skill level).</t>
  </si>
  <si>
    <t xml:space="preserve">When own Health drops below 30% (70%), increases own damage dealt by up to 15% (35%), based on remaining Health.</t>
  </si>
  <si>
    <t xml:space="preserve">Fighting Mary</t>
  </si>
  <si>
    <t xml:space="preserve">Massachusetts</t>
  </si>
  <si>
    <t xml:space="preserve">During battle, increases own Firepower, Anti-Air and Evasion by 1% (5%) per Eagle Union Heavy Cruiser/Battleship other than self. Only up to 3 ships can be counted toward this bonus (a maximum buff of 15%).</t>
  </si>
  <si>
    <t xml:space="preserve">Main gun property is changed to SHS. Increases salvo damage depending on max distances Salvo traveled, dealing bonus damage up to 15% (30%).</t>
  </si>
  <si>
    <t xml:space="preserve">Big Mamie</t>
  </si>
  <si>
    <t xml:space="preserve">2,700 Pounds of Justice</t>
  </si>
  <si>
    <t xml:space="preserve">Mikasa</t>
  </si>
  <si>
    <t xml:space="preserve">Upon taking damage, 4.5% (12%) chance to reduce damage taken by 50%. When sortied as Flagship: increases Firepower and Reload of all allied Sakura Empire (IJN) ships by 5% (20%).</t>
  </si>
  <si>
    <t xml:space="preserve">When firing main gun: 30% (60%) chance to increase damage dealt by all Battleships/Battlecruisers by 5% (20%) for 8 seconds.</t>
  </si>
  <si>
    <t xml:space="preserve">Reborn Combined Fleet Flagship</t>
  </si>
  <si>
    <t xml:space="preserve">T-Cross Formation</t>
  </si>
  <si>
    <t xml:space="preserve">P002</t>
  </si>
  <si>
    <t xml:space="preserve">Monarch's Coercion</t>
  </si>
  <si>
    <t xml:space="preserve">When firing main gun: 40% (70%) chance to fire a special barrage (damage is based on skill level) and enemies hit by the barrage have their movement speed decreased by 40% for 6 seconds.</t>
  </si>
  <si>
    <t xml:space="preserve">Increases own Reload by 0.6 (1) for every 1% loss in her HP. Additionally, when HP is 20% or less, heals for 3% max HP every 2 seconds for 8 seconds. This effect only occurs once per battle.</t>
  </si>
  <si>
    <t xml:space="preserve">Against the Current</t>
  </si>
  <si>
    <t xml:space="preserve">Mutsu</t>
  </si>
  <si>
    <t xml:space="preserve">Big Seven - Sakura Small</t>
  </si>
  <si>
    <t xml:space="preserve">Big Seven - Sakura</t>
  </si>
  <si>
    <t xml:space="preserve">When firing main gun: 20% (40%) chance to fire a frontal barrage (damage based on Skill Level).</t>
  </si>
  <si>
    <t xml:space="preserve">BIG SEVEN - SAKURA</t>
  </si>
  <si>
    <t xml:space="preserve">Nagato</t>
  </si>
  <si>
    <t xml:space="preserve">When sortied as Flagship: increases Firepower by 4% (10%), and Reload and Accuracy by 5% (20%) for allied Sakura Empire ships. Additionally, increases damage dealt by Sakura Empire Aircraft Carriers (does not include Aviation Battleships) by 5% (20%).</t>
  </si>
  <si>
    <t xml:space="preserve">The 4th Combined Fleet Flagship</t>
  </si>
  <si>
    <t xml:space="preserve">Nelson</t>
  </si>
  <si>
    <t xml:space="preserve">When firing main gun: 20% (40%) chance to fire a frontal barrage (damage increases with skill)</t>
  </si>
  <si>
    <t xml:space="preserve">Nevada</t>
  </si>
  <si>
    <t xml:space="preserve">When taking damage, 3.5% (8.0%) chance to decrease said damage by 50%.</t>
  </si>
  <si>
    <t xml:space="preserve">Nevada Kai</t>
  </si>
  <si>
    <t xml:space="preserve">When firing main gun: 15% (30%) chance to inflict double damage.</t>
  </si>
  <si>
    <t xml:space="preserve">North Carolina</t>
  </si>
  <si>
    <t xml:space="preserve">While alive in fleet, reduces incoming aviation damage taken by the Main Fleet by 5% (15%).</t>
  </si>
  <si>
    <t xml:space="preserve">In battle, increases own Firepower by the sum of 10% (30%) of own total Anti-Air stat (Only base stat and gear is counted).</t>
  </si>
  <si>
    <t xml:space="preserve">Air Cover</t>
  </si>
  <si>
    <t xml:space="preserve">AA Firepower</t>
  </si>
  <si>
    <t xml:space="preserve">Odin</t>
  </si>
  <si>
    <t xml:space="preserve">Odin2</t>
  </si>
  <si>
    <t xml:space="preserve">OdinSec (1.5)</t>
  </si>
  <si>
    <t xml:space="preserve">OdinSec (2.74)</t>
  </si>
  <si>
    <t xml:space="preserve">Oklahoma</t>
  </si>
  <si>
    <t xml:space="preserve">Oklahoma Kai</t>
  </si>
  <si>
    <t xml:space="preserve">Pennsylvania</t>
  </si>
  <si>
    <t xml:space="preserve">Big Sis Penn!</t>
  </si>
  <si>
    <t xml:space="preserve">Every 20 seconds: 30% (60%) chance to fire a unique barrage (damage increases with skill level).</t>
  </si>
  <si>
    <t xml:space="preserve">Prince of Wales</t>
  </si>
  <si>
    <t xml:space="preserve">During battle, increases own Firepower, Reload, Evasion, and Anti-Air by 1% (5%) per Eagle Union ship in the fleet.</t>
  </si>
  <si>
    <t xml:space="preserve">Royal Alliance</t>
  </si>
  <si>
    <t xml:space="preserve">Queen Elizabeth</t>
  </si>
  <si>
    <t xml:space="preserve">During combat, increases Firepower, Torpedo stat, Air Power, Anti-Air, Reload, and Evasion of HMS(Royal Navy) ships by 5% (15%).</t>
  </si>
  <si>
    <t xml:space="preserve">Queen's Orders</t>
  </si>
  <si>
    <t xml:space="preserve">Renown</t>
  </si>
  <si>
    <t xml:space="preserve">Every time the main gun is fired, increases the damage of subsequent main gun attack (includes base main gun mount) by 10% (15%).</t>
  </si>
  <si>
    <t xml:space="preserve">Final Glory</t>
  </si>
  <si>
    <t xml:space="preserve">Repulse</t>
  </si>
  <si>
    <t xml:space="preserve">Upon taking an attack, increases own Reload by 30% (50%) for 8 seconds. Effect does not stack with itself.</t>
  </si>
  <si>
    <t xml:space="preserve">Z's Counterattack</t>
  </si>
  <si>
    <t xml:space="preserve">Richelieu</t>
  </si>
  <si>
    <t xml:space="preserve">Richelieu 2</t>
  </si>
  <si>
    <t xml:space="preserve">Rodney</t>
  </si>
  <si>
    <t xml:space="preserve">Rossiya</t>
  </si>
  <si>
    <r>
      <rPr>
        <sz val="11"/>
        <color rgb="FF000000"/>
        <rFont val="Microsoft YaHei"/>
        <family val="2"/>
        <charset val="1"/>
      </rPr>
      <t xml:space="preserve">冰结锋芒 </t>
    </r>
    <r>
      <rPr>
        <sz val="11"/>
        <color rgb="FF000000"/>
        <rFont val="Calibri"/>
        <family val="2"/>
        <charset val="1"/>
      </rPr>
      <t xml:space="preserve">1</t>
    </r>
  </si>
  <si>
    <r>
      <rPr>
        <sz val="11"/>
        <color rgb="FF000000"/>
        <rFont val="Microsoft YaHei"/>
        <family val="2"/>
        <charset val="1"/>
      </rPr>
      <t xml:space="preserve">冰结锋芒 </t>
    </r>
    <r>
      <rPr>
        <sz val="11"/>
        <color rgb="FF000000"/>
        <rFont val="Calibri"/>
        <family val="2"/>
        <charset val="1"/>
      </rPr>
      <t xml:space="preserve">2</t>
    </r>
  </si>
  <si>
    <r>
      <rPr>
        <sz val="11"/>
        <color rgb="FF000000"/>
        <rFont val="Microsoft YaHei"/>
        <family val="2"/>
        <charset val="1"/>
      </rPr>
      <t xml:space="preserve">冰结锋芒 </t>
    </r>
    <r>
      <rPr>
        <sz val="11"/>
        <color rgb="FF000000"/>
        <rFont val="Calibri"/>
        <family val="2"/>
        <charset val="1"/>
      </rPr>
      <t xml:space="preserve">3</t>
    </r>
  </si>
  <si>
    <r>
      <rPr>
        <sz val="11"/>
        <color rgb="FF000000"/>
        <rFont val="Microsoft YaHei"/>
        <family val="2"/>
        <charset val="1"/>
      </rPr>
      <t xml:space="preserve">冰结锋芒 </t>
    </r>
    <r>
      <rPr>
        <sz val="11"/>
        <color rgb="FF000000"/>
        <rFont val="Calibri"/>
        <family val="2"/>
        <charset val="1"/>
      </rPr>
      <t xml:space="preserve">4</t>
    </r>
  </si>
  <si>
    <t xml:space="preserve">Scharnhorst</t>
  </si>
  <si>
    <t xml:space="preserve">Sniper</t>
  </si>
  <si>
    <t xml:space="preserve">	Every 35 (15) seconds, fires a barrage at a random enemy with 100% critical hit chance (Damage depends on skill level, shell type changes from Normal to AP shells after reaching skill level 6).</t>
  </si>
  <si>
    <t xml:space="preserve">Every 35 (20) seconds, fires 3 torpedoes towards the front (Damage depends on skill level).</t>
  </si>
  <si>
    <t xml:space="preserve">South Dakota</t>
  </si>
  <si>
    <t xml:space="preserve">Every 30 seconds, absorbs 50% of damage taken by the Main Fleet for 8 seconds. At the end of the effect, heals for 20% (50%) of the damage taken.</t>
  </si>
  <si>
    <t xml:space="preserve">The Strongest Shield</t>
  </si>
  <si>
    <t xml:space="preserve">C044</t>
  </si>
  <si>
    <t xml:space="preserve">Super Gamer</t>
  </si>
  <si>
    <t xml:space="preserve">Super Aiming Adjustment</t>
  </si>
  <si>
    <t xml:space="preserve">Super Aiming Adjustment Small</t>
  </si>
  <si>
    <t xml:space="preserve">Increases Main Gun critical rate by 15% (30%), but increases its Spread Range by 1. Every 16 seconds after the start of the battle: 40% (70%) chance to fire a special barrage (damage is based on skill level).</t>
  </si>
  <si>
    <t xml:space="preserve">Increase own Accuracy and Evasion by 10% (25%) through the use of advanced super A.I. tracking.</t>
  </si>
  <si>
    <t xml:space="preserve">Super Aiming Adjustments</t>
  </si>
  <si>
    <t xml:space="preserve">Coercion Assistance Mode</t>
  </si>
  <si>
    <t xml:space="preserve">Suruga</t>
  </si>
  <si>
    <t xml:space="preserve">Unleashed Tactics TP</t>
  </si>
  <si>
    <t xml:space="preserve">Unleashed Tactics Normal</t>
  </si>
  <si>
    <t xml:space="preserve">Unleashed Tactics PVP Pellets</t>
  </si>
  <si>
    <t xml:space="preserve">Unleashed Tactics Pellets</t>
  </si>
  <si>
    <t xml:space="preserve">Every 20s: 40.0% (70.0%) chance to fire a special barrage (DMG is based on the skill's level). While in an Exercise: improves the firing pattern of the barrage.</t>
  </si>
  <si>
    <t xml:space="preserve">While this ship is afloat, when one of your Main Fleet ship takes DMG: 40.0% (70.0%) chance to decrease the DMG your Main Fleet takes for 15s. Has a 20s cooldown between activations. Once per battle, when this ship's HP drops below 20.0%: restores 10.0% of this ship's max HP.</t>
  </si>
  <si>
    <t xml:space="preserve">Unleashed Tactics</t>
  </si>
  <si>
    <t xml:space="preserve">Unyielding Shield</t>
  </si>
  <si>
    <t xml:space="preserve">Tennessee</t>
  </si>
  <si>
    <t xml:space="preserve">Every 30 seconds, reduces damage dealt by enemies by 5% (15%) for 8 seconds.</t>
  </si>
  <si>
    <t xml:space="preserve">Coercion</t>
  </si>
  <si>
    <t xml:space="preserve">Terror</t>
  </si>
  <si>
    <t xml:space="preserve">Tirpitz</t>
  </si>
  <si>
    <t xml:space="preserve">Magnetic Torpedo</t>
  </si>
  <si>
    <t xml:space="preserve">If sortied without other Battleships/Battlecruisers: increases own damage dealt by 10% (30%). Aviation Battleships do not count.</t>
  </si>
  <si>
    <t xml:space="preserve">Every 35 (15) seconds, launch 4 magnetic torpedoes that home to enemies within a short distance of itself (damage is based on skill level).</t>
  </si>
  <si>
    <t xml:space="preserve">Lone Queen of the North</t>
  </si>
  <si>
    <t xml:space="preserve">Tosa</t>
  </si>
  <si>
    <t xml:space="preserve">Torp</t>
  </si>
  <si>
    <t xml:space="preserve">Aimed</t>
  </si>
  <si>
    <t xml:space="preserve">Not-Aimed</t>
  </si>
  <si>
    <t xml:space="preserve">Pellets</t>
  </si>
  <si>
    <t xml:space="preserve">Close Range1</t>
  </si>
  <si>
    <t xml:space="preserve">Close Range2</t>
  </si>
  <si>
    <t xml:space="preserve">Support</t>
  </si>
  <si>
    <t xml:space="preserve">Valiant</t>
  </si>
  <si>
    <t xml:space="preserve">Valiant Skill 1</t>
  </si>
  <si>
    <t xml:space="preserve">Valiant Skill 2 Shell</t>
  </si>
  <si>
    <t xml:space="preserve">Valiant Skill 2 Pellets</t>
  </si>
  <si>
    <t xml:space="preserve">Warspite</t>
  </si>
  <si>
    <t xml:space="preserve">Divine Marksman</t>
  </si>
  <si>
    <t xml:space="preserve">Every 35 (15) seconds, fires a barrage (damage based on Skill Level) at the furthest target with 100% critical hit chance. Shell type changes to AP at level 6.</t>
  </si>
  <si>
    <t xml:space="preserve">Warspite Kai</t>
  </si>
  <si>
    <t xml:space="preserve">Divine Marksman +</t>
  </si>
  <si>
    <t xml:space="preserve">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</si>
  <si>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 xml:space="preserve">Reduces the Dispersion of equipped main gun by 0.5 (5). Increases own Firepower by 3% (15%) and hit rate against Destroyers by 3% (15%).</t>
  </si>
  <si>
    <t xml:space="preserve">Divine Marksman Plus</t>
  </si>
  <si>
    <t xml:space="preserve">The Royal Legend</t>
  </si>
  <si>
    <t xml:space="preserve">Washington</t>
  </si>
  <si>
    <t xml:space="preserve">Courageous Shelling</t>
  </si>
  <si>
    <t xml:space="preserve">Courageous Shelling Small</t>
  </si>
  <si>
    <t xml:space="preserve">Every 20 seconds: 40% (70%) chance to fire a strong barrage at enemies.</t>
  </si>
  <si>
    <t xml:space="preserve">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</si>
  <si>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 xml:space="preserve">Night of the Iron Bottom Sound</t>
  </si>
  <si>
    <t xml:space="preserve">West Virginia</t>
  </si>
  <si>
    <t xml:space="preserve">Yamashiro</t>
  </si>
  <si>
    <t xml:space="preserve">Seydlitz</t>
  </si>
  <si>
    <t xml:space="preserve">SMS</t>
  </si>
  <si>
    <t xml:space="preserve">Marvel of History – Seydlitz</t>
  </si>
  <si>
    <t xml:space="preserve">Lutzow</t>
  </si>
  <si>
    <t xml:space="preserve">Lutzow Aimed</t>
  </si>
  <si>
    <t xml:space="preserve">Lutzow Cross Lasers</t>
  </si>
  <si>
    <t xml:space="preserve">Lutzow Needles</t>
  </si>
  <si>
    <t xml:space="preserve">Lutzow Torpedoes</t>
  </si>
  <si>
    <t xml:space="preserve">Thuringen</t>
  </si>
  <si>
    <t xml:space="preserve">Starfall B</t>
  </si>
  <si>
    <t xml:space="preserve">Starfall R</t>
  </si>
  <si>
    <t xml:space="preserve">Starfall Y</t>
  </si>
  <si>
    <t xml:space="preserve">Vittorio Veneto</t>
  </si>
  <si>
    <t xml:space="preserve">The Eternal Flagship HE</t>
  </si>
  <si>
    <t xml:space="preserve">The Eternal Flagship AP</t>
  </si>
  <si>
    <t xml:space="preserve">Yamashiro Kai</t>
  </si>
  <si>
    <t xml:space="preserve">Plane1</t>
  </si>
  <si>
    <t xml:space="preserve">Plane3</t>
  </si>
  <si>
    <t xml:space="preserve">Barg8</t>
  </si>
  <si>
    <t xml:space="preserve">Akagi</t>
  </si>
  <si>
    <t xml:space="preserve">CV</t>
  </si>
  <si>
    <t xml:space="preserve">F</t>
  </si>
  <si>
    <t xml:space="preserve">T</t>
  </si>
  <si>
    <t xml:space="preserve">At the beginning of combat, reduces Reload time of own first airstrike by 20% (50%).</t>
  </si>
  <si>
    <t xml:space="preserve">When paired with Kaga or Kaga (Battleship) in the same fleet, increases own Air Power by 15% (35%).</t>
  </si>
  <si>
    <t xml:space="preserve">Preemptive Victory</t>
  </si>
  <si>
    <t xml:space="preserve">Ikkousen (Akagi)</t>
  </si>
  <si>
    <t xml:space="preserve">Akagi Muse</t>
  </si>
  <si>
    <t xml:space="preserve">Dualism 500lb (3 planes)</t>
  </si>
  <si>
    <t xml:space="preserve">Dualism 100lb (3 planes)</t>
  </si>
  <si>
    <t xml:space="preserve">Dualism Torpedo (3 planes)</t>
  </si>
  <si>
    <t xml:space="preserve">If the number of Muse ships in the fleet is odd, 10 seconds after launching an airstrike: launches extra dive bombers. If the number of Muse ships in the fleet is even, 10 seconds after launching an airstrike: launches extra torpedo bombers.</t>
  </si>
  <si>
    <t xml:space="preserve">Once per battle, reduces Reload time of own first airstrike by 20% (40%). Also, increases own Aviation stat by 1% (10%) per Muse ship in the fleet (effect can stack up to 4 times).</t>
  </si>
  <si>
    <t xml:space="preserve">Dualism</t>
  </si>
  <si>
    <t xml:space="preserve">Overtune</t>
  </si>
  <si>
    <t xml:space="preserve">C043</t>
  </si>
  <si>
    <t xml:space="preserve">Anniversary</t>
  </si>
  <si>
    <t xml:space="preserve">AI</t>
  </si>
  <si>
    <t xml:space="preserve">Future Base (1000lb)</t>
  </si>
  <si>
    <t xml:space="preserve">Future Base (100lb)</t>
  </si>
  <si>
    <t xml:space="preserve">30s, 45s, and 60s after the start of the battle: launches a Lv.1 (Lv.10) special airstrike (damage is based on skill level).</t>
  </si>
  <si>
    <t xml:space="preserve">If sortied with another Kizuna AI ship, when launching an airstrike: 15% (25%) chance for the Airstrike to deal double damage.</t>
  </si>
  <si>
    <t xml:space="preserve">Future Base</t>
  </si>
  <si>
    <t xml:space="preserve">Melty World</t>
  </si>
  <si>
    <t xml:space="preserve">Ark Royal</t>
  </si>
  <si>
    <t xml:space="preserve">Swordfish, Take Off!</t>
  </si>
  <si>
    <t xml:space="preserve">When launching an airstrike: reduces Speed of all enemies onscreen by 30% (60%) for 8 seconds and deploys additional Swordfish planes that launch torpedoes (damage increases with Level).</t>
  </si>
  <si>
    <t xml:space="preserve">When launching an airstrike: 15% (25%) chance to deal double damage for 10 seconds.</t>
  </si>
  <si>
    <t xml:space="preserve">Raid Carrier</t>
  </si>
  <si>
    <t xml:space="preserve">Bearn</t>
  </si>
  <si>
    <t xml:space="preserve">Sec1</t>
  </si>
  <si>
    <t xml:space="preserve">Sec2</t>
  </si>
  <si>
    <t xml:space="preserve">Bunker Hill</t>
  </si>
  <si>
    <t xml:space="preserve">Relentless Persistence- Fighter (100lb)</t>
  </si>
  <si>
    <t xml:space="preserve">Relentless Persistence - Bomber (2000lb)</t>
  </si>
  <si>
    <t xml:space="preserve">Relentless Persistence - Bomber (100lb)</t>
  </si>
  <si>
    <t xml:space="preserve">Relentless Persistence - Torpedo Bomber</t>
  </si>
  <si>
    <t xml:space="preserve">Increase own Airpower by 5% (15%). If sortied as flagship, increase allied Eagle Union (USS) Battleships' Firepower by 5% (15%); If sortied as non-flagship, increase allied Eagle Union (USS) Destroyers' Firepower and Anti-Air by 5% (15%).</t>
  </si>
  <si>
    <t xml:space="preserve">When sortied without other CVs/CVLs: increase Main Fleet's Anti-Air by 4.5% (12%). When launching an airstrike: launch an aerial barrage based on the number of CVs/CVLs in the Main Fleet (damage based on skill level).</t>
  </si>
  <si>
    <t xml:space="preserve">Task Group</t>
  </si>
  <si>
    <t xml:space="preserve">Relentless Persistence</t>
  </si>
  <si>
    <t xml:space="preserve">Eagle</t>
  </si>
  <si>
    <t xml:space="preserve">Enterprise</t>
  </si>
  <si>
    <t xml:space="preserve">When launching an airstrike: 40% (70%) chance to deal double damage with that airstrike, and evade all incoming attacks for 8 seconds.</t>
  </si>
  <si>
    <t xml:space="preserve">Lucky E</t>
  </si>
  <si>
    <t xml:space="preserve">Essex</t>
  </si>
  <si>
    <t xml:space="preserve">Warrior Vessel</t>
  </si>
  <si>
    <t xml:space="preserve">When launching an airstrike: launches an additional TBF Avenger squadron that inflicts flood damage on hit (Damage based on own Aviation stat and skill level). Increases damage dealt to Battleships by 4% (10%).</t>
  </si>
  <si>
    <t xml:space="preserve">During battle, increases own Air Power and Anti-Air by 1.5% (5%) per Eagle Union CV/CVL in the fleet. When own aircraft shoots down an enemy aircraft, increases own Air Power by 1% (3%) (Effect can be stacked up to 5 times).</t>
  </si>
  <si>
    <t xml:space="preserve">During battle, if the fleet consists of 4 or more Eagle Union ships: all ships in the fleet have a 4.5% (12%) chance to reduce aircraft torpedo and bomb damage taken to 1.</t>
  </si>
  <si>
    <t xml:space="preserve">Carrier Formation</t>
  </si>
  <si>
    <t xml:space="preserve">Absolute Evasion</t>
  </si>
  <si>
    <t xml:space="preserve">Formidable</t>
  </si>
  <si>
    <t xml:space="preserve">Supporting Wings</t>
  </si>
  <si>
    <t xml:space="preserve">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</si>
  <si>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 xml:space="preserve">When launching an Airstrike: 50% (80%) chance to reduce the Speed of all enemies to 0 for 0.5 (1.5) seconds. After that, enemy ships will regain their Speed during the next 2.5 seconds. This skill always activates on the first airstrike of each battle.</t>
  </si>
  <si>
    <t xml:space="preserve">Decreases damage taken to self by 3.5% (8%). When launching an airstrike: decreases damage taken by other ships in the Main Fleet by 3.5% (8%) for 10 seconds.</t>
  </si>
  <si>
    <t xml:space="preserve">Don't Move An Inch!</t>
  </si>
  <si>
    <t xml:space="preserve">Armoured Hangar</t>
  </si>
  <si>
    <t xml:space="preserve">C036</t>
  </si>
  <si>
    <t xml:space="preserve">Fumiruiru</t>
  </si>
  <si>
    <t xml:space="preserve">Honey Moon</t>
  </si>
  <si>
    <t xml:space="preserve">When Fumirul launches an airstrike, 30% (60%) chance to heal the ship with the lowest HP for 2% (10%) of her max Health.</t>
  </si>
  <si>
    <t xml:space="preserve">20 (10) seconds after battle begins, and every 30 (20) seconds after that: activate a special barrage (damage based on skill level).</t>
  </si>
  <si>
    <t xml:space="preserve">Hundred Honey</t>
  </si>
  <si>
    <t xml:space="preserve">Glorious</t>
  </si>
  <si>
    <t xml:space="preserve">When launching an airstrike: increases damage dealt by the Escort Fleet by 5% (15%) for 8 seconds. Does not stack with the same skill.</t>
  </si>
  <si>
    <t xml:space="preserve">When launching an airstrike: decreases damage taken by the Escort Fleet by 5% (15%) for 8 seconds. Does not stack with the same skill.</t>
  </si>
  <si>
    <t xml:space="preserve">Fleet Carrier</t>
  </si>
  <si>
    <t xml:space="preserve">Aerial Cover</t>
  </si>
  <si>
    <t xml:space="preserve">Graf Zeppelin</t>
  </si>
  <si>
    <t xml:space="preserve">Reduces damage received by all Ironblood ships in the fleet by 5% (15%).</t>
  </si>
  <si>
    <r>
      <rPr>
        <sz val="11"/>
        <color rgb="FF000000"/>
        <rFont val="Calibri"/>
        <family val="2"/>
        <charset val="1"/>
      </rPr>
      <t xml:space="preserve">German aircraft in use (</t>
    </r>
    <r>
      <rPr>
        <sz val="11"/>
        <color rgb="FF0B0080"/>
        <rFont val="Calibri"/>
        <family val="2"/>
        <charset val="1"/>
      </rPr>
      <t xml:space="preserve">BF-109T</t>
    </r>
    <r>
      <rPr>
        <sz val="11"/>
        <color rgb="FF000000"/>
        <rFont val="Calibri"/>
        <family val="2"/>
        <charset val="1"/>
      </rPr>
      <t xml:space="preserve">, </t>
    </r>
    <r>
      <rPr>
        <sz val="11"/>
        <color rgb="FF0B0080"/>
        <rFont val="Calibri"/>
        <family val="2"/>
        <charset val="1"/>
      </rPr>
      <t xml:space="preserve">Me-155A</t>
    </r>
    <r>
      <rPr>
        <sz val="11"/>
        <color rgb="FF000000"/>
        <rFont val="Calibri"/>
        <family val="2"/>
        <charset val="1"/>
      </rPr>
      <t xml:space="preserve">, </t>
    </r>
    <r>
      <rPr>
        <sz val="11"/>
        <color rgb="FF0B0080"/>
        <rFont val="Calibri"/>
        <family val="2"/>
        <charset val="1"/>
      </rPr>
      <t xml:space="preserve">Ju-87C</t>
    </r>
    <r>
      <rPr>
        <sz val="11"/>
        <color rgb="FF000000"/>
        <rFont val="Calibri"/>
        <family val="2"/>
        <charset val="1"/>
      </rPr>
      <t xml:space="preserve">, etc.) will receive an additional 15% (30%) Efficiency.</t>
    </r>
  </si>
  <si>
    <t xml:space="preserve">Ironblood Wings</t>
  </si>
  <si>
    <t xml:space="preserve">Ironblood Hawk</t>
  </si>
  <si>
    <t xml:space="preserve">C008</t>
  </si>
  <si>
    <t xml:space="preserve">Green Heart</t>
  </si>
  <si>
    <t xml:space="preserve">Rainy Ratnapura</t>
  </si>
  <si>
    <t xml:space="preserve">Every 15 seconds switch between following effects: Reduces damage taken by 6% (20%), Increases damage dealt by 6% (20%), Every 3 seconds restore 6 (15) HP</t>
  </si>
  <si>
    <t xml:space="preserve">20% (40%) chance to activate every 20 seconds: perform an airstrike with a special aviation.</t>
  </si>
  <si>
    <t xml:space="preserve">Darjeeling Rotation</t>
  </si>
  <si>
    <t xml:space="preserve">Hiryuu</t>
  </si>
  <si>
    <t xml:space="preserve">Once per battle, upon taking lethal damage: become invincible and evade all attacks for 5 (15) seconds; simultaneously, launch an additional airstrike.</t>
  </si>
  <si>
    <t xml:space="preserve">When paired with Souryuu in the same fleet, increase own Air Power by 15% (35%).</t>
  </si>
  <si>
    <t xml:space="preserve">Final Counterattack</t>
  </si>
  <si>
    <t xml:space="preserve">Nikkousen (Hiryuu)</t>
  </si>
  <si>
    <t xml:space="preserve">Hiryuu Kai</t>
  </si>
  <si>
    <t xml:space="preserve">Deck of Aces (5 - 7%)</t>
  </si>
  <si>
    <t xml:space="preserve">Deck of Aces (3 - 12%)</t>
  </si>
  <si>
    <t xml:space="preserve">Deck of Aces (2 - 51%)</t>
  </si>
  <si>
    <t xml:space="preserve">Deck of Aces (1 - 30%)</t>
  </si>
  <si>
    <t xml:space="preserve">10 seconds after the start of a battle and every 40 (20) seconds after that: launch a random special aerial attack (damage based on skill level and hanafuda type; there are 4 types of hanafuda with each launching different amount of planes).</t>
  </si>
  <si>
    <t xml:space="preserve">Deck of Aces (Hiryuu)</t>
  </si>
  <si>
    <t xml:space="preserve">Hornet</t>
  </si>
  <si>
    <t xml:space="preserve">Doolittle Raid</t>
  </si>
  <si>
    <t xml:space="preserve">When launching an airstrike: 30% (60%) chance to launch additional B-25 bombers.</t>
  </si>
  <si>
    <t xml:space="preserve">Illustrious</t>
  </si>
  <si>
    <t xml:space="preserve">Every time Illustrious launches an airstrike, applies a shield around ships in the Escort Fleet for 8s equal to 5% (10%) of Illustrious's HP</t>
  </si>
  <si>
    <t xml:space="preserve">Armored Carrier</t>
  </si>
  <si>
    <t xml:space="preserve">Intrepid</t>
  </si>
  <si>
    <t xml:space="preserve">Intrepid2000</t>
  </si>
  <si>
    <t xml:space="preserve">Intrepid500</t>
  </si>
  <si>
    <t xml:space="preserve">Kaga</t>
  </si>
  <si>
    <t xml:space="preserve">When paired with Akagi or Akagi-chan in the same fleet, increases own Air Power by 15% (35%).</t>
  </si>
  <si>
    <t xml:space="preserve">Ikkousen (Kaga)</t>
  </si>
  <si>
    <t xml:space="preserve">Lexington</t>
  </si>
  <si>
    <t xml:space="preserve">Supporting Fire</t>
  </si>
  <si>
    <t xml:space="preserve">Every time Lexington launches an airstrike, increases Escort Fleet damage by 5% (15%) for 8 seconds. Does not stack with the same skill.</t>
  </si>
  <si>
    <t xml:space="preserve">Every 20 (10) seconds, provides supporting fire with 20.3cm guns (damage varies with skill level)</t>
  </si>
  <si>
    <t xml:space="preserve">Artillery Cover</t>
  </si>
  <si>
    <t xml:space="preserve">Little Akagi</t>
  </si>
  <si>
    <t xml:space="preserve">Preemptive Strike (500lb)</t>
  </si>
  <si>
    <t xml:space="preserve">Preemptive Strike (100lb)</t>
  </si>
  <si>
    <t xml:space="preserve">During battle, if the fleet contains more than 3 Sakura Empire ships, triggers a Lv. 1 (Lv. 10) aerial barrage 12 seconds after the start of the battle.</t>
  </si>
  <si>
    <t xml:space="preserve">During own air strike, lowest percent HP vanguard ship will evade all damage for 2 (5) seconds.</t>
  </si>
  <si>
    <t xml:space="preserve">Preemptive Strike</t>
  </si>
  <si>
    <t xml:space="preserve">Red Protection</t>
  </si>
  <si>
    <t xml:space="preserve">Little Illustrious</t>
  </si>
  <si>
    <t xml:space="preserve">SmallLusty1</t>
  </si>
  <si>
    <t xml:space="preserve">SmallLusty2</t>
  </si>
  <si>
    <t xml:space="preserve">Little Zeppelin</t>
  </si>
  <si>
    <t xml:space="preserve">Eat My Shells! AP</t>
  </si>
  <si>
    <t xml:space="preserve">Eat My Shells! HE</t>
  </si>
  <si>
    <t xml:space="preserve">Eat My Shells! Enhanced</t>
  </si>
  <si>
    <t xml:space="preserve">During battle, increases own Firepower by 20 (80) every 8 seconds. When this effect is stacked 3 times, fires a special barrage then clears effect bonuses. If equipped with a CL gun: enhances special barrage.</t>
  </si>
  <si>
    <t xml:space="preserve">During battle, increases own Air Power, Anti-Air, and Reload by 1% (5%) per allied Ironblood ship in the fleet.</t>
  </si>
  <si>
    <t xml:space="preserve">Eat my Shells!</t>
  </si>
  <si>
    <t xml:space="preserve">Ironblood #1 CV!</t>
  </si>
  <si>
    <t xml:space="preserve">C057</t>
  </si>
  <si>
    <t xml:space="preserve">Ookami Mio</t>
  </si>
  <si>
    <t xml:space="preserve">Wild Dualism TP</t>
  </si>
  <si>
    <t xml:space="preserve">Wild Dualism Bomb</t>
  </si>
  <si>
    <t xml:space="preserve">When launching an odd-numbered airstrike: launches extra torpedo bombers. When launching an even-numbered airstrike: launches extra dive bombers. Damage is based on skill level.</t>
  </si>
  <si>
    <t xml:space="preserve">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</si>
  <si>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 xml:space="preserve">Wild Dualism</t>
  </si>
  <si>
    <t xml:space="preserve">Tarot Card Divination</t>
  </si>
  <si>
    <t xml:space="preserve">Peter Strasser</t>
  </si>
  <si>
    <t xml:space="preserve">PeterStrasserBarrage</t>
  </si>
  <si>
    <t xml:space="preserve">Saratoga</t>
  </si>
  <si>
    <t xml:space="preserve">Every 20 (10) seconds, provides supporting fire with 20.3 cm guns (damage based on skill level and aviation).</t>
  </si>
  <si>
    <t xml:space="preserve">When launching an airstrike: increases Escort Fleet damage by 5% (15%) for 8 seconds. Does not stack with the same skill.</t>
  </si>
  <si>
    <t xml:space="preserve">Saratoga Kai</t>
  </si>
  <si>
    <t xml:space="preserve">Magical Girl's Prank (2000lb)</t>
  </si>
  <si>
    <t xml:space="preserve">Magical Girl's Prank (100lb)</t>
  </si>
  <si>
    <t xml:space="preserve">Magical Girl's Prank (CV Torpedo)</t>
  </si>
  <si>
    <t xml:space="preserve">When launching an airstrike: 40% (70%) chance to launch additional planes (damage based on skill level and Aviation stat) that inflict flood and burn damage on hit.</t>
  </si>
  <si>
    <t xml:space="preserve">Magical Girl's Prank</t>
  </si>
  <si>
    <t xml:space="preserve">Shangri-La</t>
  </si>
  <si>
    <t xml:space="preserve">Doolittle Raid Kai</t>
  </si>
  <si>
    <t xml:space="preserve">When launching an airstrike: 50% (80%) chance to launch additional B-25 bombers.</t>
  </si>
  <si>
    <t xml:space="preserve">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</si>
  <si>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 xml:space="preserve">Doolittle Raid Plus</t>
  </si>
  <si>
    <t xml:space="preserve">Observer of the Sky and Ocean</t>
  </si>
  <si>
    <t xml:space="preserve">Shinano</t>
  </si>
  <si>
    <t xml:space="preserve">Ultra Rare</t>
  </si>
  <si>
    <t xml:space="preserve">Hope's Tempest - 500lb</t>
  </si>
  <si>
    <t xml:space="preserve">Hope's Tempest - Torp</t>
  </si>
  <si>
    <t xml:space="preserve">Dreamwaker's Bow</t>
  </si>
  <si>
    <t xml:space="preserve">Three seconds after the start of the battle, launch a Saiun barrage. When this ship launches an airstrike, launch an additional Shinden Kai 2, Ryusei, and Saiun barrage (damage scales with skill level). Saiun barrages do not do damage; instead, they decrease the FP, TRP, AVI, and AA of one random enemy (humanoids prioritized) by 3.0% and increase the damage they receive by 3.0%, until the end of the battle. This debuff may stack up to three times.</t>
  </si>
  <si>
    <t xml:space="preserve">Increase own AVI stat by 5.0% (15.0%) for the first two battles of each sortie. Every 15 seconds after the start of the battle, fire a special barrage (barrage damage scales with skill level). If this ship is afloat and ANOTHER fleet in the same sortie engages in its third, fourth, or fifth battle, fire a special barrage 15 seconds into the start of that battle.</t>
  </si>
  <si>
    <t xml:space="preserve">As long as this ship is afloat, increase FP, EVA, and ASW stats for all DDs in your fleet by 5.0% (15.0%). At the beginning of the battle, if there are at least three Sakura Empire ships in your fleet (including this ship), decrease incoming gun and plane damage received on self by 10.0% (20.0%), and increase AVI and Accuracy for all Sakura Empire CVs and CVLs by 5.0% (15.0%) for the rest of the battle.</t>
  </si>
  <si>
    <t xml:space="preserve">Hope's Tempest</t>
  </si>
  <si>
    <t xml:space="preserve">Protector of the New Moon</t>
  </si>
  <si>
    <t xml:space="preserve">Shoukaku</t>
  </si>
  <si>
    <t xml:space="preserve">If sortied with Zuikaku, increases own Air Power by 12% (30%) and damage taken by self by 5%.</t>
  </si>
  <si>
    <t xml:space="preserve">When launching an airstrike: all ships in the fleet deal 4% (10%) more damage and take 4% (10%) less damage for 12 seconds.</t>
  </si>
  <si>
    <t xml:space="preserve">Gokkousen (Shoukaku)</t>
  </si>
  <si>
    <t xml:space="preserve">Crane's Protection</t>
  </si>
  <si>
    <t xml:space="preserve">Souryuu</t>
  </si>
  <si>
    <t xml:space="preserve">When launching an airstrike: increase Escort Fleet damage by 5% (15%) for 8 seconds.</t>
  </si>
  <si>
    <t xml:space="preserve">When paired with Hiryuu in the same fleet, increase own Air Power by 15% (35%).</t>
  </si>
  <si>
    <t xml:space="preserve">Nikkousen (Souryuu)</t>
  </si>
  <si>
    <t xml:space="preserve">Souryuu Kai</t>
  </si>
  <si>
    <t xml:space="preserve">Deck of Aces (5 - 7%) (500lb)</t>
  </si>
  <si>
    <t xml:space="preserve">Deck of Aces (5 - 7%) (100lb)</t>
  </si>
  <si>
    <t xml:space="preserve">Deck of Aces (3 - 12%) (500lb)</t>
  </si>
  <si>
    <t xml:space="preserve">Deck of Aces (3 - 12%) (100lb)</t>
  </si>
  <si>
    <t xml:space="preserve">Deck of Aces (2 - 51%) (500lb)</t>
  </si>
  <si>
    <t xml:space="preserve">Deck of Aces (2 - 51%) (100lb)</t>
  </si>
  <si>
    <t xml:space="preserve">Deck of Aces (1 - 30%) (500lb)</t>
  </si>
  <si>
    <t xml:space="preserve">Deck of Aces (1 - 30%) (100lb)</t>
  </si>
  <si>
    <t xml:space="preserve">15 seconds after the start of a battle and every 40 (20) seconds after that, launch a random special aerial attack (damage based on skill level and hanafuda type; there are 4 types of hanafuda with each launching different amount of planes).</t>
  </si>
  <si>
    <t xml:space="preserve">Deck of Aces (Souryuu)</t>
  </si>
  <si>
    <t xml:space="preserve">Taihou</t>
  </si>
  <si>
    <t xml:space="preserve">Dice of Destiny HE</t>
  </si>
  <si>
    <t xml:space="preserve">Dice of Destiny TP</t>
  </si>
  <si>
    <t xml:space="preserve">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</si>
  <si>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 xml:space="preserve">Reduces HE damage and Aviation damage taken by self by 5% (20%).</t>
  </si>
  <si>
    <t xml:space="preserve">Dice of Destiny</t>
  </si>
  <si>
    <t xml:space="preserve">Sakura Armored Carrier	</t>
  </si>
  <si>
    <t xml:space="preserve">C052</t>
  </si>
  <si>
    <t xml:space="preserve">Tokino Sora</t>
  </si>
  <si>
    <t xml:space="preserve">Dream Story</t>
  </si>
  <si>
    <t xml:space="preserve">When launching an airstrike: 70% (100%) chance to launch a barrage that can cause burning, damage scales with skill level.</t>
  </si>
  <si>
    <t xml:space="preserve">During battle, decrease damage received by all Hololive ships by 2.5% (7%). Every 20 seconds, decreases Speed of all enemies by 5% (10%), increases Accuracy stat of all friendly ships by 5% (10%), and increases Speed of all friendly Hololive ships by 5% (10%) for 8 seconds.</t>
  </si>
  <si>
    <t xml:space="preserve">Dream☆Story</t>
  </si>
  <si>
    <t xml:space="preserve">比大海更深邃的天空下</t>
  </si>
  <si>
    <t xml:space="preserve">C004</t>
  </si>
  <si>
    <t xml:space="preserve">Vert</t>
  </si>
  <si>
    <t xml:space="preserve">Increases own Reload by 1.5% (5%) and reduces damage taken from shelling by self by 1.5% (5%) per Destroyer in the fleet.</t>
  </si>
  <si>
    <t xml:space="preserve">Assam Link</t>
  </si>
  <si>
    <t xml:space="preserve">Victorious</t>
  </si>
  <si>
    <t xml:space="preserve">Increases own damage dealt to Battleships by 10% (20%) and decreases damage taken from plunging shots (shots that travel in an arc) by 10% (20%).</t>
  </si>
  <si>
    <t xml:space="preserve">Victorious Song</t>
  </si>
  <si>
    <t xml:space="preserve">Wasp</t>
  </si>
  <si>
    <t xml:space="preserve">Wasp's Double Sting</t>
  </si>
  <si>
    <t xml:space="preserve">If sortied with a Royal Navy ship in the Main Fleet, when launching an airstrike: 30% (50%) chance to launch additional Spitfire planes.</t>
  </si>
  <si>
    <t xml:space="preserve">Yorktown</t>
  </si>
  <si>
    <t xml:space="preserve">Vengeful Strike (2000lb)</t>
  </si>
  <si>
    <t xml:space="preserve">Vengeful Strike (100lb)</t>
  </si>
  <si>
    <t xml:space="preserve">Upon taking damage: launches a SBD Dauntless squadron (damage is based on skill level); has a cooldown of 20 seconds. Once per battle, when Health falls below 20%: recovers 15% (25%) of max Health.</t>
  </si>
  <si>
    <t xml:space="preserve">Vengeful Strike</t>
  </si>
  <si>
    <t xml:space="preserve">Zuikaku</t>
  </si>
  <si>
    <t xml:space="preserve">If sortied with Shoukaku, increase own Air Power by 8% (20%) and reduce damage taken by self by 8% (20%).</t>
  </si>
  <si>
    <t xml:space="preserve">When launching an airstrike: permanently increases the damage of next airstrike by 8% (20%). Can be stacked 3 times.</t>
  </si>
  <si>
    <t xml:space="preserve">Gokkousen (Zuikaku)</t>
  </si>
  <si>
    <t xml:space="preserve">Crane's Endeavor</t>
  </si>
  <si>
    <t xml:space="preserve">Bataan</t>
  </si>
  <si>
    <t xml:space="preserve">Roaring Challenger</t>
  </si>
  <si>
    <t xml:space="preserve">If equipped with Grumman F6F Hellcat: increases Fighter efficiency by 10% (30%); also 45% (75%) chance to launch additional F6F planes when launching an airstrike.</t>
  </si>
  <si>
    <t xml:space="preserve">If sortied as non-flagship: increases Reload for other CV/CVLs by 5% (15%), and increases Anti-Air for main fleet by 20 (50) when alive.</t>
  </si>
  <si>
    <t xml:space="preserve">Aviation Assistance</t>
  </si>
  <si>
    <t xml:space="preserve">Bogue</t>
  </si>
  <si>
    <t xml:space="preserve">When launching an airstrike: 5% (15%) chance for next airstrike to become available immediately.</t>
  </si>
  <si>
    <t xml:space="preserve">Fast Take-off</t>
  </si>
  <si>
    <t xml:space="preserve">Bogue Kai</t>
  </si>
  <si>
    <t xml:space="preserve">Increase Anti-Air for Main Fleet by 5% (15%). Does not stack with other command skills that have similar effect.</t>
  </si>
  <si>
    <t xml:space="preserve">Anti-Air Command - Main Fleet</t>
  </si>
  <si>
    <t xml:space="preserve">Casablanca</t>
  </si>
  <si>
    <t xml:space="preserve">Centaur</t>
  </si>
  <si>
    <t xml:space="preserve">Swordfishes, Strike!</t>
  </si>
  <si>
    <t xml:space="preserve">Increase own damage dealt to Battleships by 4% (10%). When launching an airstrike: deploys additional Swordfish planes that launch torpedoes (damage increases with skill level) which reduce the speed of enemies they hit by 40% for 6 seconds.</t>
  </si>
  <si>
    <t xml:space="preserve">When launching an airstrike: increase Air Power by 5% (15%), and Firepower by 4% (10%) for all ships in the Main Fleet for 8 seconds.</t>
  </si>
  <si>
    <t xml:space="preserve">Chaser</t>
  </si>
  <si>
    <t xml:space="preserve">816 Squadron</t>
  </si>
  <si>
    <t xml:space="preserve">5% (15%) activation when launching an airstrike: the next airstrike becomes available immediately.</t>
  </si>
  <si>
    <t xml:space="preserve">After the launch of every airstrike, trigger an anti-submarine search and reveal all submarines currently present for 5 (10) seconds, then release Swordfish planes of 816 Squadron for anti-submarine and torpedo attack (damage increases with level).</t>
  </si>
  <si>
    <t xml:space="preserve">Chitose</t>
  </si>
  <si>
    <t xml:space="preserve">Strike Team, Attack!</t>
  </si>
  <si>
    <t xml:space="preserve">Strike Team, Attack! 2</t>
  </si>
  <si>
    <t xml:space="preserve">Strike Team, Attack! EX</t>
  </si>
  <si>
    <t xml:space="preserve">Strike Team, Attack! EX 2</t>
  </si>
  <si>
    <t xml:space="preserve">Every battle, when this ship launches its first Airstrike: launches an additional seaplane airstrike; when it launches its second Airstrike and onwards: 40% (70%) chance to launch an additional torpedo bomber airstrike (DMG is based on the skill's level). If there is a Sakura Empire CVL in the same fleet as this ship: improves these airstrikes.</t>
  </si>
  <si>
    <t xml:space="preserve">Air Support</t>
  </si>
  <si>
    <t xml:space="preserve">Chiyoda</t>
  </si>
  <si>
    <t xml:space="preserve">When launching an airstrike: 15% (25%) chance to deal double damage for 10 seconds. Does not stack with itself.</t>
  </si>
  <si>
    <t xml:space="preserve">Assault Carrier</t>
  </si>
  <si>
    <t xml:space="preserve">Hermes</t>
  </si>
  <si>
    <t xml:space="preserve">Destiny Draw N</t>
  </si>
  <si>
    <t xml:space="preserve">Destiny Draw AP</t>
  </si>
  <si>
    <t xml:space="preserve">Destiny Draw HE</t>
  </si>
  <si>
    <t xml:space="preserve">Hermes Kai</t>
  </si>
  <si>
    <t xml:space="preserve">When Health falls under 30%, increase own Luck by 7. Every 20 seconds, activate a special skill.</t>
  </si>
  <si>
    <t xml:space="preserve">Destiny Draw!</t>
  </si>
  <si>
    <t xml:space="preserve">Hiyou</t>
  </si>
  <si>
    <t xml:space="preserve">Eagle's Defiance</t>
  </si>
  <si>
    <t xml:space="preserve">In each round of combat, the first two airstrikes performed will be accompanied with extra planes.</t>
  </si>
  <si>
    <t xml:space="preserve">Eagle's Defiance	</t>
  </si>
  <si>
    <t xml:space="preserve">Houshou</t>
  </si>
  <si>
    <t xml:space="preserve">Increases experience gained by Carriers by 5% (15%)</t>
  </si>
  <si>
    <t xml:space="preserve">After every airstrike, increase the air power of other CV/Ls by 5% (15%) for 8 seconds</t>
  </si>
  <si>
    <t xml:space="preserve">Aviation Pioneer</t>
  </si>
  <si>
    <t xml:space="preserve">Independence</t>
  </si>
  <si>
    <t xml:space="preserve">Knight of the Sky</t>
  </si>
  <si>
    <t xml:space="preserve">Knight of the Sky Enhanced</t>
  </si>
  <si>
    <t xml:space="preserve">Eagle Union airplanes in use gain 5% (15%) additional Efficiency.</t>
  </si>
  <si>
    <t xml:space="preserve">When launching an airstrike: launches an additional Lv.1 (Lv.10) TBF Avenger squadron. If sortied with any Cleveland-class cruisers: increases their Firepower by 3.5% (8.0%), increases own Air Power and Accuracy by 5% (15%), and enhances TBF Avenger squadron barrage pattern.</t>
  </si>
  <si>
    <t xml:space="preserve">Eagle Sky</t>
  </si>
  <si>
    <t xml:space="preserve">Junyou</t>
  </si>
  <si>
    <t xml:space="preserve">Langley</t>
  </si>
  <si>
    <t xml:space="preserve">Langley Kai</t>
  </si>
  <si>
    <t xml:space="preserve">Increases Reload for all CVLs in the fleet by 5% (15%). Does not stack with other command skills that have similar effect.</t>
  </si>
  <si>
    <t xml:space="preserve">Reload Command - Light Carrier</t>
  </si>
  <si>
    <t xml:space="preserve">Long Island</t>
  </si>
  <si>
    <t xml:space="preserve">Long Island Kai</t>
  </si>
  <si>
    <t xml:space="preserve">After every airstrike, increase the Air Power of other CVs/CVLs by 5% (15%) for 8 seconds.</t>
  </si>
  <si>
    <t xml:space="preserve">C056</t>
  </si>
  <si>
    <t xml:space="preserve">Murasaki Shion</t>
  </si>
  <si>
    <t xml:space="preserve">MP Burst - Explosion</t>
  </si>
  <si>
    <t xml:space="preserve">When launching an airstrike: fires a wave of light that reduces damage dealt by enemy ships by 1% (5%) for 8 seconds</t>
  </si>
  <si>
    <t xml:space="preserve">Every 8 seconds, gains 1 MP. If Shion has 3 MP: fires a special barrage and resets MP to 0 (damage is based on skill level).</t>
  </si>
  <si>
    <t xml:space="preserve">The Wave of a Pleasant Dream</t>
  </si>
  <si>
    <t xml:space="preserve">Perseus</t>
  </si>
  <si>
    <t xml:space="preserve">Perseus 2xHornet</t>
  </si>
  <si>
    <t xml:space="preserve">Perseus 2xTBF</t>
  </si>
  <si>
    <t xml:space="preserve">Perseus 2xFirefly</t>
  </si>
  <si>
    <t xml:space="preserve">Ranger</t>
  </si>
  <si>
    <t xml:space="preserve">Ranger Kai</t>
  </si>
  <si>
    <t xml:space="preserve">Ryuuhou</t>
  </si>
  <si>
    <t xml:space="preserve">The first 3 Airstrikes launched by this ship will heal 3 times over 3 seconds, each heal targeting the allied surface ship with lowest percentage of remaining HP. Each heal restores HP equal to 1.2% (3.0%) of Ryuuhou's maximum HP. If the fleet this ship is in enters battle with 3 ships afloat in the Main Fleet, the healing from this skill is increased by 100.0%.</t>
  </si>
  <si>
    <t xml:space="preserve">While this ship is afloat: decreases the DMG your Vanguard takes from enemy SS torpedoes by 4.5% (12.0%). When your Submarine Fleet enters combat: heals 10.0% (20.0%) HP to each boat in your Submarine Fleet. Whenever your SSs or SSVs sink an enemy ship: increases Ryuuhou's DMG by 1.0% (3.5%). Can be stacked up to 6 times.</t>
  </si>
  <si>
    <t xml:space="preserve">Swirling Cherry Blossoms</t>
  </si>
  <si>
    <t xml:space="preserve">Dancing Waves</t>
  </si>
  <si>
    <t xml:space="preserve">Ryuujou</t>
  </si>
  <si>
    <t xml:space="preserve">Air Strike Signal (1000lb)</t>
  </si>
  <si>
    <t xml:space="preserve">Air Strike Signal (100lb)</t>
  </si>
  <si>
    <t xml:space="preserve">After launching an airstrike, 40% (70%) chance to release the power of United Fleet: increases own Air Power and all CVLs' Reload by 5% (15%), and decreases damage taken by all CVs/CVLs by 5% (15%) for 8 seconds.</t>
  </si>
  <si>
    <t xml:space="preserve">5 seconds after own airstrike finishes loading: launches a Level 1 (Level 10) dive bomber squadron. Can be activated twice per battle.</t>
  </si>
  <si>
    <t xml:space="preserve">Manjuu, Cat, Little Owl!</t>
  </si>
  <si>
    <t xml:space="preserve">Air Strike Signal</t>
  </si>
  <si>
    <t xml:space="preserve">C035</t>
  </si>
  <si>
    <t xml:space="preserve">Saraana</t>
  </si>
  <si>
    <t xml:space="preserve">Twin Shadow Musou</t>
  </si>
  <si>
    <t xml:space="preserve">When paired with Uruuru, increase own Air Power by 15% (35%), and Reload and Accuracy by 10% (20%).</t>
  </si>
  <si>
    <t xml:space="preserve">When paired with Uruuru, every 55 seconds after battle starts: activates a special barrage. The skill can be activated for maximum 2 times each battle (damage based on skill level).</t>
  </si>
  <si>
    <t xml:space="preserve">Shrine Maiden of Chains (Saraana)</t>
  </si>
  <si>
    <t xml:space="preserve">Twin Shadow Musou (Saraana)</t>
  </si>
  <si>
    <t xml:space="preserve">Shouhou</t>
  </si>
  <si>
    <t xml:space="preserve">When launching an airstrike: heals the Escort Fleet for 3.5% (8%) of their max HP.</t>
  </si>
  <si>
    <t xml:space="preserve">Support Carrier</t>
  </si>
  <si>
    <t xml:space="preserve">Shouhou Kai</t>
  </si>
  <si>
    <t xml:space="preserve">After every airstrike, increase Air Power of other CVs/CVLs by 5% (15%) for 8 seconds.</t>
  </si>
  <si>
    <t xml:space="preserve">After launching an airstrike, heal the Escort Fleet for 3.5% (8%) of their max HP.</t>
  </si>
  <si>
    <t xml:space="preserve">Increase reload of the Escort Fleet by 5% (15%). Does not stack with other command skills that have similar effect.</t>
  </si>
  <si>
    <t xml:space="preserve">C034</t>
  </si>
  <si>
    <t xml:space="preserve">Uruuru</t>
  </si>
  <si>
    <t xml:space="preserve">When paired with Saraana, increases own Air Power by 15% (35%), and Reload and Accuracy by 10% (20%).</t>
  </si>
  <si>
    <t xml:space="preserve">When paired with Saraana, every 55 seconds after battle starts: activates a special barrage. The skill can be activated for maximum 2 times each battle (damage based on skill level).</t>
  </si>
  <si>
    <t xml:space="preserve">Shrine Maiden of Chains (Uruuru)</t>
  </si>
  <si>
    <t xml:space="preserve">Twin Shadow Musou (Uruuru)</t>
  </si>
  <si>
    <t xml:space="preserve">Weser</t>
  </si>
  <si>
    <t xml:space="preserve">WeserBarrage</t>
  </si>
  <si>
    <t xml:space="preserve">Albacore</t>
  </si>
  <si>
    <t xml:space="preserve">Albacore-Class Barrage</t>
  </si>
  <si>
    <t xml:space="preserve">Surprise Gift</t>
  </si>
  <si>
    <t xml:space="preserve">Increases damage dealt to Destroyers, Light Cruisers, and Aircraft Carriers by 1% (10%).</t>
  </si>
  <si>
    <t xml:space="preserve">When resurfacing: launches torpedoes (damage increases with Level) that have a 70% chance to inflict Burn damage (based on Torpedo stat) upon hit.</t>
  </si>
  <si>
    <t xml:space="preserve">When entering the battle, triggers Full Barrage - Albacore I (II).</t>
  </si>
  <si>
    <t xml:space="preserve">Experienced Hunter</t>
  </si>
  <si>
    <t xml:space="preserve">Bluegill</t>
  </si>
  <si>
    <t xml:space="preserve">Rare</t>
  </si>
  <si>
    <t xml:space="preserve">Cavalla</t>
  </si>
  <si>
    <t xml:space="preserve">Double-Winged Shark</t>
  </si>
  <si>
    <t xml:space="preserve">Reduces damage taken by friendly submarines by 10% (15%); when leaving battle, heals 3.5% (8%) of own max Health.</t>
  </si>
  <si>
    <t xml:space="preserve">Increases own damage dealt to CVs by 5% (20%). When surfacing due to running out of oxygen and when leaving battle: fires a torpedo barrage, damage scales with skill level; If sortied with Albacore, increases this barrage's damage by 5% (15%).</t>
  </si>
  <si>
    <t xml:space="preserve">When entering the battle, triggers Full Barrage - Cavalla I (II).</t>
  </si>
  <si>
    <t xml:space="preserve">Submarine Protection</t>
  </si>
  <si>
    <t xml:space="preserve">Double-winged Shark</t>
  </si>
  <si>
    <t xml:space="preserve">Dace</t>
  </si>
  <si>
    <t xml:space="preserve">Gato-Class Barrage</t>
  </si>
  <si>
    <t xml:space="preserve">Increases damage dealt to Heavy Cruisers by 5% (15%).</t>
  </si>
  <si>
    <t xml:space="preserve">Increases own Oxygen stat by 4 (40).</t>
  </si>
  <si>
    <r>
      <rPr>
        <sz val="11"/>
        <color rgb="FF000000"/>
        <rFont val="Calibri"/>
        <family val="2"/>
        <charset val="1"/>
      </rPr>
      <t xml:space="preserve">When entering battle, trigger Full Barrage - Gato-Class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</si>
  <si>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Heavy Cruiser Hunter</t>
  </si>
  <si>
    <t xml:space="preserve">Extra Oxygen Supply</t>
  </si>
  <si>
    <t xml:space="preserve">I-168</t>
  </si>
  <si>
    <t xml:space="preserve">I-168-Exclusive Barrage</t>
  </si>
  <si>
    <t xml:space="preserve">Vengeful Blade</t>
  </si>
  <si>
    <t xml:space="preserve">Increases own damage dealt to CVs by 5% (20%). When resurfacing: launches a torpedo barrage with 100% critical hit chance (damage scales with skill level).</t>
  </si>
  <si>
    <t xml:space="preserve">Decreases Torpedo speed by 1 and increases Torpedo damage by 4.5% (12%).</t>
  </si>
  <si>
    <t xml:space="preserve">When entering the battle, triggers Full Barrage - I-168 I (II).</t>
  </si>
  <si>
    <t xml:space="preserve">Creeping Torpedoes	</t>
  </si>
  <si>
    <t xml:space="preserve">I-19-Exclusive Barrage</t>
  </si>
  <si>
    <t xml:space="preserve">Fatal Penetration</t>
  </si>
  <si>
    <t xml:space="preserve">After entering battle for 8 seconds, fires a wave of penetrating torpedoes. Torpedoes can penetrate once (Can hit up to 2 targets, armor piercing).</t>
  </si>
  <si>
    <t xml:space="preserve">When entering the battle, triggers Full Barrage - I-19 I (II).</t>
  </si>
  <si>
    <t xml:space="preserve">Creeping Torpedoes</t>
  </si>
  <si>
    <t xml:space="preserve">I-25</t>
  </si>
  <si>
    <t xml:space="preserve">I-Full Barrage-Class</t>
  </si>
  <si>
    <t xml:space="preserve">Parting Ceremony</t>
  </si>
  <si>
    <t xml:space="preserve">When entering battle: launches a Type 0 recon plane (damage scales with Torpedo stat and skill level), and increases Accuracy by 5% (10%) for all ships in the submarine fleet.</t>
  </si>
  <si>
    <t xml:space="preserve">When resurfacing: launches a torpedo barrage. If this barrage, or own gun shots hit an enemy ship: 40% (70%) chance to lower the Reload and Accuracy of that enemy by 5% (10%) for 15 seconds.</t>
  </si>
  <si>
    <t xml:space="preserve">When entering battle, triggers Full Barrage - I-Class I (II).</t>
  </si>
  <si>
    <t xml:space="preserve">Glen's Greetings</t>
  </si>
  <si>
    <t xml:space="preserve">I-26</t>
  </si>
  <si>
    <t xml:space="preserve">Increases own damage dealt to CVs/CVLs by 5% (15%).</t>
  </si>
  <si>
    <t xml:space="preserve">Carrier Hunter</t>
  </si>
  <si>
    <t xml:space="preserve">I-56</t>
  </si>
  <si>
    <t xml:space="preserve">If Airspace Control status is not Air Denial or Air Incapability: increases own Firepower, Torpedo stat, and Reload by 5% (15%).</t>
  </si>
  <si>
    <t xml:space="preserve">Airspace Confirmation</t>
  </si>
  <si>
    <t xml:space="preserve">I-58</t>
  </si>
  <si>
    <t xml:space="preserve">Curtain Call</t>
  </si>
  <si>
    <t xml:space="preserve">Increases damage dealt to Heavy Cruisers by 5% (15%). When leaving battle, fires a wave of torpedoes (damage and spread based on Skill Level).</t>
  </si>
  <si>
    <t xml:space="preserve">C053</t>
  </si>
  <si>
    <t xml:space="preserve">Minato Aqua</t>
  </si>
  <si>
    <t xml:space="preserve">Promise to the Sunflower</t>
  </si>
  <si>
    <t xml:space="preserve">Promise to the Sunflower Enhanced</t>
  </si>
  <si>
    <t xml:space="preserve">Shut-in Maid</t>
  </si>
  <si>
    <t xml:space="preserve">Failen Angel</t>
  </si>
  <si>
    <t xml:space="preserve">Decreases own Oxygen stat by 150 (60). 20 seconds after entering battle, increases own damage dealt by 15% (30%). When retreating: increases Speed by 100% during the retreat.</t>
  </si>
  <si>
    <t xml:space="preserve">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</si>
  <si>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 xml:space="preserve">When entering battle: fires a special barrage with 100% critical hit chance. If fleet consists of at least 2 Hololive ships, the barrage is enhanced.</t>
  </si>
  <si>
    <t xml:space="preserve">Surcouf</t>
  </si>
  <si>
    <t xml:space="preserve">Surcouf-Exclusive Barrage</t>
  </si>
  <si>
    <t xml:space="preserve">When entering the battle, increase Escort Fleet's Accuracy by 5% (20%) for 20 seconds.</t>
  </si>
  <si>
    <t xml:space="preserve">When resurfacing: stays on the surface for 4.5 (12) more seconds.</t>
  </si>
  <si>
    <t xml:space="preserve">When surfacing from underwater combat, trigger Special Barrage - Surcouf I (II).</t>
  </si>
  <si>
    <t xml:space="preserve">Recon Support</t>
  </si>
  <si>
    <t xml:space="preserve">Surfaced Warfare</t>
  </si>
  <si>
    <t xml:space="preserve">U-101</t>
  </si>
  <si>
    <t xml:space="preserve">U-101-Exclusive Barrage</t>
  </si>
  <si>
    <t xml:space="preserve">Increases own Accuracy by 5% (15%). When sortied as non-flagship of the submarine fleet: moves forward for 18 seconds, then move back to original position.</t>
  </si>
  <si>
    <t xml:space="preserve">During battle, increases Evasion by 2.5% (7%) and damage dealt to enemy Destroyers, Light Cruisers by 2.5% (7%) for all Ironblood submarines in the fleet. Also, increases own Torpedo stat and Reload by 1.5% (6%) per Ironblood submarine in the same fleet.</t>
  </si>
  <si>
    <t xml:space="preserve">When entering the battle, triggers Full Barrage - U-101 I (II)</t>
  </si>
  <si>
    <t xml:space="preserve">Great Shark's Bite</t>
  </si>
  <si>
    <t xml:space="preserve">Wolf Pack Formation - U-101</t>
  </si>
  <si>
    <t xml:space="preserve">U-110</t>
  </si>
  <si>
    <t xml:space="preserve">IXB-Class Barrage</t>
  </si>
  <si>
    <t xml:space="preserve">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</si>
  <si>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 xml:space="preserve">During battle, increases own Torpedo stat and Reload by 1.5% (6%) per Ironblood submarine in the same fleet.</t>
  </si>
  <si>
    <t xml:space="preserve">When entering battle, triggers Full Barrage - Type IXB I (II).</t>
  </si>
  <si>
    <t xml:space="preserve">Enigma</t>
  </si>
  <si>
    <t xml:space="preserve">Wolf Pack Tactics</t>
  </si>
  <si>
    <t xml:space="preserve">U-37</t>
  </si>
  <si>
    <t xml:space="preserve">U37Barrage</t>
  </si>
  <si>
    <t xml:space="preserve">U-37 Exclusive Barrage</t>
  </si>
  <si>
    <t xml:space="preserve">U-47</t>
  </si>
  <si>
    <t xml:space="preserve">U-47-Exclusive Barrage</t>
  </si>
  <si>
    <t xml:space="preserve">When own torpedo hits an enemy ship: in the next 5 seconds, the next torpedo to hit that enemy will deal 20% (40%) more damage.</t>
  </si>
  <si>
    <t xml:space="preserve">When entering the map, if U-47 is the sole unit of the submarine fleet: increases damage dealt to Battleships (Battlecruisers and Aviation Battleships are not counted) by 5% (20%), increases Search Level by 1 and increases Ammo by 2.</t>
  </si>
  <si>
    <r>
      <rPr>
        <sz val="11"/>
        <color rgb="FF000000"/>
        <rFont val="Calibri"/>
        <family val="2"/>
        <charset val="1"/>
      </rPr>
      <t xml:space="preserve">When entering the battle, triggers Full Barrage - U-47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</si>
  <si>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The Bull of Scapa Flow</t>
  </si>
  <si>
    <t xml:space="preserve">Lone Wolf</t>
  </si>
  <si>
    <t xml:space="preserve">U-522</t>
  </si>
  <si>
    <t xml:space="preserve">IXC-Class Barrage</t>
  </si>
  <si>
    <t xml:space="preserve">Increases own Oxygen stat by 2 (20). If included in the submarine fleet: this fleet can provide battle support outside of hunting range once per Sortie.</t>
  </si>
  <si>
    <t xml:space="preserve">When entering battle, triggers Full Barrage - Type IXC I (II).</t>
  </si>
  <si>
    <t xml:space="preserve">Ocean Support</t>
  </si>
  <si>
    <t xml:space="preserve">Wolf Pack Formation</t>
  </si>
  <si>
    <t xml:space="preserve">U-556</t>
  </si>
  <si>
    <t xml:space="preserve">VIIC-Class Barrage</t>
  </si>
  <si>
    <t xml:space="preserve">When present in battle, once per battle, if a ship falls below 20% health, trigger a torpedo barrage; if Bismarck is present, the barrage is enhanced.</t>
  </si>
  <si>
    <t xml:space="preserve">When entering battle, triggers Full Barrage - Type VIIC I (II).</t>
  </si>
  <si>
    <t xml:space="preserve">The Light of an Oath</t>
  </si>
  <si>
    <t xml:space="preserve">U-557</t>
  </si>
  <si>
    <t xml:space="preserve">Increase damage dealt to Light Cruisers by 5% (15%).</t>
  </si>
  <si>
    <t xml:space="preserve">During battle, increases own Torpedo stat and Reload by 1.5% (6.0%) per Ironblood submarine in the same fleet.</t>
  </si>
  <si>
    <r>
      <rPr>
        <sz val="11"/>
        <color rgb="FF000000"/>
        <rFont val="Calibri"/>
        <family val="2"/>
        <charset val="1"/>
      </rPr>
      <t xml:space="preserve">When entering battle, triggers Full Barrage - Type VIIC I </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</si>
  <si>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Light Cruiser Hunter</t>
  </si>
  <si>
    <t xml:space="preserve">U-73</t>
  </si>
  <si>
    <t xml:space="preserve">VIIB-Class Barrage</t>
  </si>
  <si>
    <t xml:space="preserve">When entering battle, triggers Full Barrage - Type VIIB I (II).</t>
  </si>
  <si>
    <t xml:space="preserve">U-81</t>
  </si>
  <si>
    <t xml:space="preserve">U-81-Exclusive Barrage</t>
  </si>
  <si>
    <t xml:space="preserve">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</si>
  <si>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 xml:space="preserve">Increases own Evasion by 20% (40%). During battle, increases own Torpedo stat, Reload and Accuracy by 2.5% (7%) per Ironblood submarine in the same fleet.</t>
  </si>
  <si>
    <r>
      <rPr>
        <sz val="11"/>
        <color rgb="FF000000"/>
        <rFont val="Calibri"/>
        <family val="2"/>
        <charset val="1"/>
      </rPr>
      <t xml:space="preserve">When entering the battle, triggers Full Barrage - U-81 I</t>
    </r>
    <r>
      <rPr>
        <sz val="11"/>
        <color rgb="FF000000"/>
        <rFont val="Microsoft YaHei"/>
        <family val="2"/>
        <charset val="1"/>
      </rPr>
      <t xml:space="preserve">（</t>
    </r>
    <r>
      <rPr>
        <sz val="11"/>
        <color rgb="FF000000"/>
        <rFont val="Calibri"/>
        <family val="2"/>
        <charset val="1"/>
      </rPr>
      <t xml:space="preserve">II</t>
    </r>
    <r>
      <rPr>
        <sz val="11"/>
        <color rgb="FF000000"/>
        <rFont val="Microsoft YaHei"/>
        <family val="2"/>
        <charset val="1"/>
      </rPr>
      <t xml:space="preserve">）</t>
    </r>
  </si>
  <si>
    <t xml:space="preserve">Silent Hunter</t>
  </si>
  <si>
    <t xml:space="preserve">Wolf Pack Formation - U-81</t>
  </si>
  <si>
    <t xml:space="preserve">U-96</t>
  </si>
  <si>
    <t xml:space="preserve">The Smiling Sawfish</t>
  </si>
  <si>
    <t xml:space="preserve">U-96-Exclusive Barrage</t>
  </si>
  <si>
    <t xml:space="preserve">Increases this boat's Torpedo Crit Rate by 10% (20%). At the start of the battle: fires a torpedo barrage (damage and pattern of barrage is based on skill level).</t>
  </si>
  <si>
    <t xml:space="preserve">Increases Accuracy by 1% (10%) and Crit DMG by 5% (15%) for all your Iron Blood SSs. Additionally, for each Iron Blood SS in your fleet: increases this boat's Accuracy, RLD, and EVA by 1.5% (6%).</t>
  </si>
  <si>
    <t xml:space="preserve">When entering the battle, triggers Full Barrage - U-96 I (II)</t>
  </si>
  <si>
    <t xml:space="preserve">	The Smiling Sawfish</t>
  </si>
  <si>
    <t xml:space="preserve">Wolf Pack Formation - U-96</t>
  </si>
  <si>
    <t xml:space="preserve">I-13-Exclussive Barrage</t>
  </si>
  <si>
    <t xml:space="preserve">When entering battle: launches a Saiun plane, then increases damage dealt by the Main Fleet by 5% (10%) for 10 seconds.</t>
  </si>
  <si>
    <t xml:space="preserve">Increases Oxygen by 4 (40).</t>
  </si>
  <si>
    <t xml:space="preserve">When entering battle, triggers Full Barrage - I-13 I (II)</t>
  </si>
  <si>
    <t xml:space="preserve">Code: Hikari</t>
  </si>
  <si>
    <t xml:space="preserve">Ship</t>
  </si>
  <si>
    <t xml:space="preserve">.</t>
  </si>
  <si>
    <t xml:space="preserve">Battleship</t>
  </si>
  <si>
    <t xml:space="preserve">Carrier</t>
  </si>
  <si>
    <t xml:space="preserve">Destroyer</t>
  </si>
  <si>
    <t xml:space="preserve">HeavyCruiser</t>
  </si>
  <si>
    <t xml:space="preserve">LightCarrier</t>
  </si>
  <si>
    <t xml:space="preserve">LightCruiser</t>
  </si>
  <si>
    <t xml:space="preserve">None</t>
  </si>
  <si>
    <t xml:space="preserve">RepairShip</t>
  </si>
  <si>
    <t xml:space="preserve">Submarine</t>
  </si>
  <si>
    <t xml:space="preserve">SubmarineCarrier</t>
  </si>
  <si>
    <t xml:space="preserve">Le Opiniatre</t>
  </si>
  <si>
    <t xml:space="preserve">Z-26</t>
  </si>
  <si>
    <t xml:space="preserve">TableStats</t>
  </si>
  <si>
    <t xml:space="preserve">Ships With Barrage</t>
  </si>
  <si>
    <t xml:space="preserve">Base Damage</t>
  </si>
  <si>
    <t xml:space="preserve">Total Rounds</t>
  </si>
  <si>
    <t xml:space="preserve">Coefficient</t>
  </si>
  <si>
    <t xml:space="preserve">Round Type</t>
  </si>
  <si>
    <t xml:space="preserve">Light Armor</t>
  </si>
  <si>
    <t xml:space="preserve">Medium Armor</t>
  </si>
  <si>
    <t xml:space="preserve">Heavy Armor</t>
  </si>
  <si>
    <t xml:space="preserve">Burn Priority</t>
  </si>
  <si>
    <t xml:space="preserve">AP Pen</t>
  </si>
  <si>
    <t xml:space="preserve">Extra</t>
  </si>
  <si>
    <t xml:space="preserve">Beagle, Bulldog</t>
  </si>
  <si>
    <t xml:space="preserve">Normal</t>
  </si>
  <si>
    <t xml:space="preserve">Cassin, Downes</t>
  </si>
  <si>
    <t xml:space="preserve">Aulick, Bush, Charles Ausburne, Fletcher, Foote, Hazelwood, Jenkins, Nicholas, Radford, Spence, Thatcher, Kimberly, Mullany, Stanley, Smalley</t>
  </si>
  <si>
    <t xml:space="preserve">Comet, Crescent, Cygnet</t>
  </si>
  <si>
    <t xml:space="preserve">Z18, Z19, Z20, Z21</t>
  </si>
  <si>
    <t xml:space="preserve">Hamakaze, Isokaze, Kagerou, Kuroshio, Nowaki, Oyashio, Shiranui, Tanikaze, Urakaze</t>
  </si>
  <si>
    <t xml:space="preserve">Craven, Gridley, Maury, McCall</t>
  </si>
  <si>
    <t xml:space="preserve">Fortune, Foxhound</t>
  </si>
  <si>
    <t xml:space="preserve">Shigure, Shiratsuyu</t>
  </si>
  <si>
    <t xml:space="preserve">AP</t>
  </si>
  <si>
    <t xml:space="preserve">HE</t>
  </si>
  <si>
    <t xml:space="preserve">Acasta, Amazon, Ardent</t>
  </si>
  <si>
    <t xml:space="preserve">Akatsuki, Ikazuchi, Inazuma, Hibiki</t>
  </si>
  <si>
    <t xml:space="preserve">Juno, Jupiter, Jersey</t>
  </si>
  <si>
    <t xml:space="preserve">Hammann, Sims</t>
  </si>
  <si>
    <t xml:space="preserve">Bailey, Benson, Hobby, Kalk</t>
  </si>
  <si>
    <t xml:space="preserve">Ariake, Hatsuharu, Hatsushimo, Wakaba, Yuugure</t>
  </si>
  <si>
    <t xml:space="preserve">Fumizuki, Kisaragi, Mikazuki, Minazuki, Mutsuki, Nagatsuki, Uzuki</t>
  </si>
  <si>
    <t xml:space="preserve">Hatakaze, Kamikaze, Matsukaze</t>
  </si>
  <si>
    <t xml:space="preserve">Torpedo</t>
  </si>
  <si>
    <t xml:space="preserve">80% Torpedo Stat</t>
  </si>
  <si>
    <t xml:space="preserve">Affected by skill</t>
  </si>
  <si>
    <t xml:space="preserve">Harutsuki, Niizuki, Yoizuki</t>
  </si>
  <si>
    <t xml:space="preserve">MGM+1</t>
  </si>
  <si>
    <t xml:space="preserve">Fubuki, Uranami</t>
  </si>
  <si>
    <t xml:space="preserve">Anshan, Chang Chun, Fu Shun, Tai Yuan</t>
  </si>
  <si>
    <t xml:space="preserve">Matchless, Musketeer</t>
  </si>
  <si>
    <t xml:space="preserve">Arashio, Asashio, Michishio, Ooshio, Kasumi</t>
  </si>
  <si>
    <t xml:space="preserve">Z35 and Z36</t>
  </si>
  <si>
    <t xml:space="preserve">Normal (White)</t>
  </si>
  <si>
    <t xml:space="preserve">Normal (Blue)</t>
  </si>
  <si>
    <t xml:space="preserve">Normal (Red)</t>
  </si>
  <si>
    <t xml:space="preserve">Forbin, Le Mars</t>
  </si>
  <si>
    <t xml:space="preserve">Makinami, Kiyonami</t>
  </si>
  <si>
    <t xml:space="preserve">Hardy, Hunter</t>
  </si>
  <si>
    <t xml:space="preserve">Le Opiniatre-Exclusive Barrage</t>
  </si>
  <si>
    <t xml:space="preserve">Concord, Memphis, Omaha, Raleigh, Richmond, Marblehead</t>
  </si>
  <si>
    <t xml:space="preserve">Karlsruhe, Koln, Konigsberg,</t>
  </si>
  <si>
    <t xml:space="preserve">Achilles, Ajax, Leander</t>
  </si>
  <si>
    <t xml:space="preserve">Abukuma, Isuzu, Nagara, Kinu</t>
  </si>
  <si>
    <t xml:space="preserve">Brooklyn, Helena, Honolulu, Phoenix, St. Louis</t>
  </si>
  <si>
    <t xml:space="preserve">Ping Hai, Ning hai</t>
  </si>
  <si>
    <t xml:space="preserve">Edinburgh, Belchan</t>
  </si>
  <si>
    <t xml:space="preserve">Cleveland, Columbia, Denver, Montpelier</t>
  </si>
  <si>
    <t xml:space="preserve">Arethusa, Aurora, Galatea</t>
  </si>
  <si>
    <t xml:space="preserve">Atlanta, Juneau, San Diego</t>
  </si>
  <si>
    <t xml:space="preserve">Jintsuu, Naka, Sendai,</t>
  </si>
  <si>
    <t xml:space="preserve">Fiji, Jamaica</t>
  </si>
  <si>
    <t xml:space="preserve">Southampton, Sheffield, Glasgow</t>
  </si>
  <si>
    <t xml:space="preserve">Mikuma, Mogami</t>
  </si>
  <si>
    <t xml:space="preserve">Neptune</t>
  </si>
  <si>
    <t xml:space="preserve">Curacoa, Curlew</t>
  </si>
  <si>
    <t xml:space="preserve">Furutaka, Kako</t>
  </si>
  <si>
    <t xml:space="preserve">Aoba, Kinugasa</t>
  </si>
  <si>
    <t xml:space="preserve">Pensacola, Salt Lake City</t>
  </si>
  <si>
    <t xml:space="preserve">Exeter, York</t>
  </si>
  <si>
    <t xml:space="preserve">Chicago, Houston, Northampton</t>
  </si>
  <si>
    <t xml:space="preserve">Admiral Hipper, Prinz Eugen</t>
  </si>
  <si>
    <t xml:space="preserve">Indianapolis, Portland</t>
  </si>
  <si>
    <t xml:space="preserve">Admiral Graf Spee, Deutschland</t>
  </si>
  <si>
    <t xml:space="preserve">Dorsetshire, Norfolk</t>
  </si>
  <si>
    <t xml:space="preserve">London, Shropshire, Sussex</t>
  </si>
  <si>
    <t xml:space="preserve">Kent, Suffolk</t>
  </si>
  <si>
    <t xml:space="preserve">Ashigara, Myoukou, Nachi</t>
  </si>
  <si>
    <t xml:space="preserve">Atago, Choukai, Maya, Takao</t>
  </si>
  <si>
    <t xml:space="preserve">MGM+1 | Affected by skill</t>
  </si>
  <si>
    <t xml:space="preserve">Astoria, Minneapolis, Quincy, Vincennes</t>
  </si>
  <si>
    <t xml:space="preserve">Skill-Related</t>
  </si>
  <si>
    <t xml:space="preserve">I-26, I-58, I-25, I-56</t>
  </si>
  <si>
    <t xml:space="preserve">U73</t>
  </si>
  <si>
    <t xml:space="preserve">U-557 and U556</t>
  </si>
  <si>
    <t xml:space="preserve">Albacore, Cavalla</t>
  </si>
  <si>
    <t xml:space="preserve">100% Firepower</t>
  </si>
  <si>
    <t xml:space="preserve">Ryu-style Six Lotus Pellets</t>
  </si>
  <si>
    <t xml:space="preserve">Magic Bash</t>
  </si>
  <si>
    <t xml:space="preserve">Homing Effect</t>
  </si>
  <si>
    <t xml:space="preserve">100% Torpedo Stat</t>
  </si>
  <si>
    <t xml:space="preserve">Lily Root II</t>
  </si>
  <si>
    <t xml:space="preserve">Lily Root III</t>
  </si>
  <si>
    <t xml:space="preserve">Lily Root IV</t>
  </si>
  <si>
    <t xml:space="preserve">120% Torpedo Stat</t>
  </si>
  <si>
    <t xml:space="preserve">HE Arching</t>
  </si>
  <si>
    <t xml:space="preserve">BC</t>
  </si>
  <si>
    <t xml:space="preserve">Scharnhorst, Gneisenau</t>
  </si>
  <si>
    <t xml:space="preserve">Sanshikidan</t>
  </si>
  <si>
    <t xml:space="preserve">150% Firepower Stat</t>
  </si>
  <si>
    <t xml:space="preserve">Kaga (BB)</t>
  </si>
  <si>
    <t xml:space="preserve">Colorado, Maryland, Nelson, Rodney, West Virginia</t>
  </si>
  <si>
    <t xml:space="preserve">150% Torpedo Stat</t>
  </si>
  <si>
    <t xml:space="preserve">80% Firepower in PvP</t>
  </si>
  <si>
    <t xml:space="preserve">80% Firepower, 100% Crit Rate</t>
  </si>
  <si>
    <t xml:space="preserve"> A Legend's Inheritance</t>
  </si>
  <si>
    <t xml:space="preserve">120% Firepower Stat</t>
  </si>
  <si>
    <t xml:space="preserve">120% Firepower Stat | Small AoE</t>
  </si>
  <si>
    <t xml:space="preserve">Mutsu, Nagato</t>
  </si>
  <si>
    <t xml:space="preserve">100% Crit</t>
  </si>
  <si>
    <t xml:space="preserve">Friedrich der Grosse</t>
  </si>
  <si>
    <t xml:space="preserve">Kizuna Ai - Super Gamer</t>
  </si>
  <si>
    <t xml:space="preserve">Without 356mm</t>
  </si>
  <si>
    <t xml:space="preserve">With 356mm</t>
  </si>
  <si>
    <t xml:space="preserve">120 Range</t>
  </si>
  <si>
    <t xml:space="preserve">Erebus, Terror</t>
  </si>
  <si>
    <t xml:space="preserve">Bomb</t>
  </si>
  <si>
    <t xml:space="preserve">Airp</t>
  </si>
  <si>
    <t xml:space="preserve">80% Airpower Stat</t>
  </si>
  <si>
    <t xml:space="preserve">Torpedo (CV)</t>
  </si>
  <si>
    <t xml:space="preserve">120% Airpower Stat</t>
  </si>
  <si>
    <t xml:space="preserve">Lexington, Saratoga</t>
  </si>
  <si>
    <t xml:space="preserve">HE Bomb</t>
  </si>
  <si>
    <t xml:space="preserve">120% Airpower Stat | 0.1 Burn Coeff</t>
  </si>
  <si>
    <t xml:space="preserve">Flood (Torpedo)</t>
  </si>
  <si>
    <t xml:space="preserve">120% Airpower Stat | 0.2 Flood Coeff</t>
  </si>
  <si>
    <t xml:space="preserve">Torpedo Sakura</t>
  </si>
  <si>
    <t xml:space="preserve">0.3 Flood Coeff</t>
  </si>
  <si>
    <t xml:space="preserve">Laser</t>
  </si>
  <si>
    <t xml:space="preserve">Infinite</t>
  </si>
  <si>
    <t xml:space="preserve">100% Airpower Stat</t>
  </si>
  <si>
    <t xml:space="preserve">Kizuna Ai - Anniversary</t>
  </si>
  <si>
    <t xml:space="preserve">Hiyou, Junyou</t>
  </si>
  <si>
    <t xml:space="preserve">Saraana &amp; Uruuru</t>
  </si>
  <si>
    <t xml:space="preserve">0.3 Burn Coeff</t>
  </si>
  <si>
    <t xml:space="preserve">AP Bomb</t>
  </si>
  <si>
    <t xml:space="preserve">Fusou, Yamashiro</t>
  </si>
  <si>
    <t xml:space="preserve">AP Torpedo</t>
  </si>
  <si>
    <t xml:space="preserve">120% Torpedo Coeff</t>
  </si>
  <si>
    <t xml:space="preserve">HE Torpedo</t>
  </si>
  <si>
    <t xml:space="preserve">Baltimore, Bremerton</t>
  </si>
  <si>
    <t xml:space="preserve">80% Aviation</t>
  </si>
  <si>
    <t xml:space="preserve">Giulio Cesare, Conte di Cavour</t>
  </si>
  <si>
    <t xml:space="preserve">SAP</t>
  </si>
  <si>
    <t xml:space="preserve">Buffs the specific Anshan's main gun damage by 16% and strengthens barrage</t>
  </si>
  <si>
    <t xml:space="preserve">Blue</t>
  </si>
  <si>
    <t xml:space="preserve">Purple</t>
  </si>
  <si>
    <t xml:space="preserve">Red</t>
  </si>
  <si>
    <t xml:space="preserve">Slash</t>
  </si>
  <si>
    <t xml:space="preserve">Magic</t>
  </si>
  <si>
    <t xml:space="preserve">Icicle</t>
  </si>
  <si>
    <t xml:space="preserve">40% SPD debuff + Flood DoT</t>
  </si>
  <si>
    <t xml:space="preserve">2.66s, affected by RLD | 100% causes 1 SPD Debuff, each layer decelerates by 1.5%, 10 layers max</t>
  </si>
  <si>
    <t xml:space="preserve">Catalina</t>
  </si>
  <si>
    <t xml:space="preserve">Catalina2000lb</t>
  </si>
  <si>
    <t xml:space="preserve">Holy</t>
  </si>
  <si>
    <t xml:space="preserve">20s</t>
  </si>
  <si>
    <t xml:space="preserve">0.99s</t>
  </si>
  <si>
    <t xml:space="preserve">Perseuus</t>
  </si>
  <si>
    <t xml:space="preserve">8% armor break</t>
  </si>
  <si>
    <t xml:space="preserve">Chitose, Chiyoda</t>
  </si>
  <si>
    <t xml:space="preserve">Rng</t>
  </si>
  <si>
    <t xml:space="preserve">Spr</t>
  </si>
  <si>
    <t xml:space="preserve">Angle</t>
  </si>
  <si>
    <t xml:space="preserve">Attr</t>
  </si>
  <si>
    <t xml:space="preserve">Base</t>
  </si>
  <si>
    <t xml:space="preserve">1x102mm</t>
  </si>
  <si>
    <t xml:space="preserve">5°</t>
  </si>
  <si>
    <t xml:space="preserve">360°</t>
  </si>
  <si>
    <t xml:space="preserve">Lock-On</t>
  </si>
  <si>
    <t xml:space="preserve">Normal+</t>
  </si>
  <si>
    <t xml:space="preserve">1x120mm</t>
  </si>
  <si>
    <t xml:space="preserve">7°</t>
  </si>
  <si>
    <t xml:space="preserve">1x127mm (Mk 30)</t>
  </si>
  <si>
    <t xml:space="preserve">15°</t>
  </si>
  <si>
    <t xml:space="preserve">1x127mm (SKC)</t>
  </si>
  <si>
    <t xml:space="preserve">10°</t>
  </si>
  <si>
    <t xml:space="preserve">HE+</t>
  </si>
  <si>
    <t xml:space="preserve">1x130mm</t>
  </si>
  <si>
    <t xml:space="preserve">14°</t>
  </si>
  <si>
    <t xml:space="preserve">HE++</t>
  </si>
  <si>
    <t xml:space="preserve">1x138.6mm Gold</t>
  </si>
  <si>
    <t xml:space="preserve">1x138.6mm Purple</t>
  </si>
  <si>
    <t xml:space="preserve">AP+</t>
  </si>
  <si>
    <t xml:space="preserve">1x76mm</t>
  </si>
  <si>
    <t xml:space="preserve">0°</t>
  </si>
  <si>
    <t xml:space="preserve">2x100mm</t>
  </si>
  <si>
    <t xml:space="preserve">TORP</t>
  </si>
  <si>
    <t xml:space="preserve">2x102mm (HMS)</t>
  </si>
  <si>
    <t xml:space="preserve">NONE</t>
  </si>
  <si>
    <t xml:space="preserve">2x120mm</t>
  </si>
  <si>
    <t xml:space="preserve">2x127mm (IJN)</t>
  </si>
  <si>
    <t xml:space="preserve">2x128mm</t>
  </si>
  <si>
    <t xml:space="preserve">20°</t>
  </si>
  <si>
    <t xml:space="preserve">2x134mm</t>
  </si>
  <si>
    <t xml:space="preserve">12°</t>
  </si>
  <si>
    <t xml:space="preserve">3x102mm</t>
  </si>
  <si>
    <t xml:space="preserve">2x120mm Model 1936</t>
  </si>
  <si>
    <t xml:space="preserve">130mm</t>
  </si>
  <si>
    <t xml:space="preserve">2x130mm</t>
  </si>
  <si>
    <t xml:space="preserve">114mm</t>
  </si>
  <si>
    <t xml:space="preserve">120mm MK XI</t>
  </si>
  <si>
    <t xml:space="preserve">128mm SKC41</t>
  </si>
  <si>
    <t xml:space="preserve">Y</t>
  </si>
  <si>
    <t xml:space="preserve">1x140mm</t>
  </si>
  <si>
    <t xml:space="preserve">25°</t>
  </si>
  <si>
    <t xml:space="preserve">1x150mm</t>
  </si>
  <si>
    <t xml:space="preserve">1x152mm (HMS)</t>
  </si>
  <si>
    <t xml:space="preserve">120°</t>
  </si>
  <si>
    <t xml:space="preserve">1x152mm (NU)</t>
  </si>
  <si>
    <t xml:space="preserve">40°</t>
  </si>
  <si>
    <t xml:space="preserve">2x140mm</t>
  </si>
  <si>
    <t xml:space="preserve">28°</t>
  </si>
  <si>
    <t xml:space="preserve">Scattershot</t>
  </si>
  <si>
    <t xml:space="preserve">2x150mm (TBTSCK)</t>
  </si>
  <si>
    <t xml:space="preserve">2x152mm (HMS)</t>
  </si>
  <si>
    <t xml:space="preserve">2x152mm (IJN)</t>
  </si>
  <si>
    <t xml:space="preserve">2x152mm (USS)</t>
  </si>
  <si>
    <t xml:space="preserve">3x150mm (SK C/25)</t>
  </si>
  <si>
    <t xml:space="preserve">3x152 Prototype</t>
  </si>
  <si>
    <t xml:space="preserve">18°</t>
  </si>
  <si>
    <t xml:space="preserve">115°</t>
  </si>
  <si>
    <t xml:space="preserve">3x152mm (HMS)</t>
  </si>
  <si>
    <t xml:space="preserve">42°</t>
  </si>
  <si>
    <t xml:space="preserve">3x152mm (USS)</t>
  </si>
  <si>
    <t xml:space="preserve">3x152mm Mark 17</t>
  </si>
  <si>
    <t xml:space="preserve">16°</t>
  </si>
  <si>
    <t xml:space="preserve">24°</t>
  </si>
  <si>
    <t xml:space="preserve">3x152mm B-38K5</t>
  </si>
  <si>
    <t xml:space="preserve">152mm Mark 16</t>
  </si>
  <si>
    <t xml:space="preserve">2x203mm (HMS)</t>
  </si>
  <si>
    <t xml:space="preserve">2x203mm (IJN)</t>
  </si>
  <si>
    <t xml:space="preserve">2x203mm (SKC)</t>
  </si>
  <si>
    <t xml:space="preserve">2x203mm Mle1924</t>
  </si>
  <si>
    <t xml:space="preserve">2x203mm No.3</t>
  </si>
  <si>
    <t xml:space="preserve">310mm Azuma</t>
  </si>
  <si>
    <t xml:space="preserve">26°</t>
  </si>
  <si>
    <t xml:space="preserve">3x203mm (Mk 15)</t>
  </si>
  <si>
    <t xml:space="preserve">45°</t>
  </si>
  <si>
    <t xml:space="preserve">3x203mm (USS)</t>
  </si>
  <si>
    <t xml:space="preserve">3x203mm AP Proto</t>
  </si>
  <si>
    <t xml:space="preserve">22°</t>
  </si>
  <si>
    <t xml:space="preserve">38°</t>
  </si>
  <si>
    <t xml:space="preserve">3x203mm Mle</t>
  </si>
  <si>
    <t xml:space="preserve">3x283mm (SKC)</t>
  </si>
  <si>
    <t xml:space="preserve">203mm Model 1927</t>
  </si>
  <si>
    <t xml:space="preserve">203mm Mle1924</t>
  </si>
  <si>
    <t xml:space="preserve">3x234mm</t>
  </si>
  <si>
    <t xml:space="preserve">2x234mm</t>
  </si>
  <si>
    <t xml:space="preserve">203mm Mark IX</t>
  </si>
  <si>
    <t xml:space="preserve">203mm Mark 15</t>
  </si>
  <si>
    <t xml:space="preserve">2x305mm</t>
  </si>
  <si>
    <t xml:space="preserve">50°</t>
  </si>
  <si>
    <t xml:space="preserve">Bracketing</t>
  </si>
  <si>
    <t xml:space="preserve">2x356mm (IJN)</t>
  </si>
  <si>
    <t xml:space="preserve">2x380mm (SKC)</t>
  </si>
  <si>
    <t xml:space="preserve">2x381mm (Mk 1)</t>
  </si>
  <si>
    <t xml:space="preserve">2x381mm (Mk 2)</t>
  </si>
  <si>
    <t xml:space="preserve">2x406mm (Mark 5)</t>
  </si>
  <si>
    <t xml:space="preserve">2x410mm Gold</t>
  </si>
  <si>
    <t xml:space="preserve">3x356mm (IJN)</t>
  </si>
  <si>
    <t xml:space="preserve">3x381mm Prototype</t>
  </si>
  <si>
    <t xml:space="preserve">3x406mm (HMS)</t>
  </si>
  <si>
    <t xml:space="preserve">3x406mm (Mark 6)</t>
  </si>
  <si>
    <t xml:space="preserve">3x410mm Prototype</t>
  </si>
  <si>
    <t xml:space="preserve">406mm (SKC)</t>
  </si>
  <si>
    <t xml:space="preserve">457mm Mk A</t>
  </si>
  <si>
    <t xml:space="preserve">23°</t>
  </si>
  <si>
    <t xml:space="preserve">4x356mm (HMS)</t>
  </si>
  <si>
    <t xml:space="preserve">4x380mm (Mle 1935)</t>
  </si>
  <si>
    <t xml:space="preserve">3x381 Model 1934</t>
  </si>
  <si>
    <t xml:space="preserve">3x305mm Model 1907</t>
  </si>
  <si>
    <t xml:space="preserve">305mm SKC39</t>
  </si>
  <si>
    <t xml:space="preserve">AP++</t>
  </si>
  <si>
    <t xml:space="preserve">406mm MkD</t>
  </si>
  <si>
    <t xml:space="preserve">Spread</t>
  </si>
  <si>
    <t xml:space="preserve">2x610mm</t>
  </si>
  <si>
    <t xml:space="preserve">30°</t>
  </si>
  <si>
    <t xml:space="preserve">60°</t>
  </si>
  <si>
    <t xml:space="preserve">3x533mm</t>
  </si>
  <si>
    <t xml:space="preserve">3x533mm Homing</t>
  </si>
  <si>
    <t xml:space="preserve">Magnetic</t>
  </si>
  <si>
    <t xml:space="preserve">3x550mm</t>
  </si>
  <si>
    <t xml:space="preserve">3x610mm</t>
  </si>
  <si>
    <t xml:space="preserve">4x533mm</t>
  </si>
  <si>
    <t xml:space="preserve">4x533mm Homing</t>
  </si>
  <si>
    <t xml:space="preserve">4x610mm</t>
  </si>
  <si>
    <t xml:space="preserve">5x533mm</t>
  </si>
  <si>
    <t xml:space="preserve">5x533mm Homing</t>
  </si>
  <si>
    <t xml:space="preserve">5x533mm Rainbow</t>
  </si>
  <si>
    <t xml:space="preserve">533mm Mark IX</t>
  </si>
  <si>
    <t xml:space="preserve">533mm Mk17</t>
  </si>
  <si>
    <t xml:space="preserve">610mm T0</t>
  </si>
  <si>
    <t xml:space="preserve">Sanshikidan shell</t>
  </si>
  <si>
    <t xml:space="preserve">Sanshikidan Fragments</t>
  </si>
  <si>
    <t xml:space="preserve">Super Heavy Shell</t>
  </si>
  <si>
    <t xml:space="preserve">Sakura</t>
  </si>
  <si>
    <t xml:space="preserve">Homing</t>
  </si>
  <si>
    <t xml:space="preserve">CD</t>
  </si>
  <si>
    <t xml:space="preserve">Proc</t>
  </si>
  <si>
    <t xml:space="preserve">CritDamage</t>
  </si>
  <si>
    <t xml:space="preserve">Crit%</t>
  </si>
  <si>
    <t xml:space="preserve">CDReduction</t>
  </si>
  <si>
    <t xml:space="preserve">Notes</t>
  </si>
  <si>
    <t xml:space="preserve">FPModifier</t>
  </si>
  <si>
    <t xml:space="preserve">HitModifier</t>
  </si>
  <si>
    <t xml:space="preserve">100/150 Jet Fuel</t>
  </si>
  <si>
    <t xml:space="preserve">Aichi AB-3</t>
  </si>
  <si>
    <t xml:space="preserve">Air Radar</t>
  </si>
  <si>
    <t xml:space="preserve">Autoloader</t>
  </si>
  <si>
    <t xml:space="preserve">Drop Tank</t>
  </si>
  <si>
    <t xml:space="preserve">F1-282</t>
  </si>
  <si>
    <t xml:space="preserve">FCR</t>
  </si>
  <si>
    <t xml:space="preserve">Gyroscope</t>
  </si>
  <si>
    <t xml:space="preserve">Reduces cooldown of first shelling by 15%.</t>
  </si>
  <si>
    <t xml:space="preserve">Homing Beacon</t>
  </si>
  <si>
    <t xml:space="preserve">Rammer</t>
  </si>
  <si>
    <t xml:space="preserve">Random Word Generator</t>
  </si>
  <si>
    <t xml:space="preserve">Type 94 AA</t>
  </si>
  <si>
    <t xml:space="preserve">Type 98 Delayed Firing Device</t>
  </si>
  <si>
    <t xml:space="preserve">Reduces spread by 2</t>
  </si>
  <si>
    <t xml:space="preserve">Z Flag</t>
  </si>
  <si>
    <t xml:space="preserve">VC Armor Plating</t>
  </si>
  <si>
    <t xml:space="preserve">Changes armor type to heavy</t>
  </si>
  <si>
    <t xml:space="preserve">Buffs an Anshan's main gun damage by 16% and enhances barrage</t>
  </si>
  <si>
    <t xml:space="preserve">Team Emblem</t>
  </si>
  <si>
    <t xml:space="preserve">If Hololive ship equips this, increases their damage by 3%</t>
  </si>
  <si>
    <t xml:space="preserve">Strait</t>
  </si>
  <si>
    <t xml:space="preserve">Take 6% less damage from Sirens</t>
  </si>
  <si>
    <t xml:space="preserve">Increase ambush avoidance (both) by 10%</t>
  </si>
  <si>
    <t xml:space="preserve">5% damage increase</t>
  </si>
  <si>
    <t xml:space="preserve">Hedgehog</t>
  </si>
  <si>
    <t xml:space="preserve">279 DMG</t>
  </si>
  <si>
    <t xml:space="preserve">Heal%/s</t>
  </si>
  <si>
    <t xml:space="preserve">Note(s)</t>
  </si>
  <si>
    <t xml:space="preserve">Anti-Torpedo Bulge</t>
  </si>
  <si>
    <t xml:space="preserve">Beaver Squad</t>
  </si>
  <si>
    <t xml:space="preserve">Crane</t>
  </si>
  <si>
    <t xml:space="preserve">Fire Extinguisher</t>
  </si>
  <si>
    <t xml:space="preserve">Healing Cat's Paw</t>
  </si>
  <si>
    <t xml:space="preserve">Improved Boiler</t>
  </si>
  <si>
    <t xml:space="preserve">Intelligence Chip</t>
  </si>
  <si>
    <t xml:space="preserve">Naval Camouflage</t>
  </si>
  <si>
    <t xml:space="preserve">NY Maritime Zones</t>
  </si>
  <si>
    <t xml:space="preserve">Oxygen Tank</t>
  </si>
  <si>
    <t xml:space="preserve">Pearl Tears</t>
  </si>
  <si>
    <t xml:space="preserve">Prototype Rudder</t>
  </si>
  <si>
    <t xml:space="preserve">Pyoko-Pyoko</t>
  </si>
  <si>
    <t xml:space="preserve">0.3% per 15s</t>
  </si>
  <si>
    <t xml:space="preserve">Snorkel</t>
  </si>
  <si>
    <t xml:space="preserve">Steering Gear</t>
  </si>
  <si>
    <t xml:space="preserve">Unfulfilled Promise</t>
  </si>
  <si>
    <t xml:space="preserve">Corn Lantern</t>
  </si>
  <si>
    <t xml:space="preserve">Reduces damage taken by Hololive characters by 4%</t>
  </si>
  <si>
    <t xml:space="preserve">Ankimo</t>
  </si>
  <si>
    <t xml:space="preserve">Changes BGM</t>
  </si>
  <si>
    <t xml:space="preserve">Gamers Mark</t>
  </si>
  <si>
    <t xml:space="preserve">Changes ship to Hololive (previous faction still applies)</t>
  </si>
  <si>
    <t xml:space="preserve">Soul of the Marinières</t>
  </si>
  <si>
    <t xml:space="preserve">Aviation Cargo</t>
  </si>
  <si>
    <t xml:space="preserve">40cm Type 94 Naval Gun Parts</t>
  </si>
  <si>
    <t xml:space="preserve">Tier</t>
  </si>
  <si>
    <t xml:space="preserve">100lb</t>
  </si>
  <si>
    <t xml:space="preserve">500lb</t>
  </si>
  <si>
    <t xml:space="preserve">500lbEX</t>
  </si>
  <si>
    <t xml:space="preserve">1000lb</t>
  </si>
  <si>
    <t xml:space="preserve">1000lbEX</t>
  </si>
  <si>
    <t xml:space="preserve">1000lbEX2</t>
  </si>
  <si>
    <t xml:space="preserve">1600lbAP</t>
  </si>
  <si>
    <t xml:space="preserve">1600lb</t>
  </si>
  <si>
    <t xml:space="preserve">2000lb</t>
  </si>
  <si>
    <t xml:space="preserve">831 Squadron</t>
  </si>
  <si>
    <t xml:space="preserve">T0</t>
  </si>
  <si>
    <t xml:space="preserve">A5M Claude</t>
  </si>
  <si>
    <t xml:space="preserve">T3</t>
  </si>
  <si>
    <t xml:space="preserve">A6M2 Zero</t>
  </si>
  <si>
    <t xml:space="preserve">A6M5 Zero</t>
  </si>
  <si>
    <t xml:space="preserve">A7M Reppuu</t>
  </si>
  <si>
    <t xml:space="preserve">Aichi D3A Type 99</t>
  </si>
  <si>
    <t xml:space="preserve">BF-109T</t>
  </si>
  <si>
    <t xml:space="preserve">Blackburn Skua</t>
  </si>
  <si>
    <t xml:space="preserve">BTD-1 Destroyer</t>
  </si>
  <si>
    <t xml:space="preserve">D4Y Suisei</t>
  </si>
  <si>
    <t xml:space="preserve">F2A Buffalo</t>
  </si>
  <si>
    <t xml:space="preserve">F4F Wildcat</t>
  </si>
  <si>
    <t xml:space="preserve">F4U Corsair</t>
  </si>
  <si>
    <t xml:space="preserve">F6F Hellcat</t>
  </si>
  <si>
    <t xml:space="preserve">Fairey Firefly</t>
  </si>
  <si>
    <t xml:space="preserve">Fairey Fulmar</t>
  </si>
  <si>
    <t xml:space="preserve">Junkers Ju-87C</t>
  </si>
  <si>
    <t xml:space="preserve">McClusky</t>
  </si>
  <si>
    <t xml:space="preserve">Me-155A</t>
  </si>
  <si>
    <t xml:space="preserve">SB2C Helldiver</t>
  </si>
  <si>
    <t xml:space="preserve">SBD Dauntless</t>
  </si>
  <si>
    <t xml:space="preserve">Sea Fury</t>
  </si>
  <si>
    <t xml:space="preserve">Sea Gladiator</t>
  </si>
  <si>
    <t xml:space="preserve">Seafang</t>
  </si>
  <si>
    <t xml:space="preserve">Seafire</t>
  </si>
  <si>
    <t xml:space="preserve">Thach Squadron</t>
  </si>
  <si>
    <t xml:space="preserve">XF5F Skyrocket</t>
  </si>
  <si>
    <t xml:space="preserve">de Havilland Hornet</t>
  </si>
  <si>
    <t xml:space="preserve">Shiden Kai 2</t>
  </si>
  <si>
    <t xml:space="preserve">XSB3C-1</t>
  </si>
  <si>
    <t xml:space="preserve">Type 12</t>
  </si>
  <si>
    <t xml:space="preserve">Type 21</t>
  </si>
  <si>
    <t xml:space="preserve">FR.47</t>
  </si>
  <si>
    <t xml:space="preserve">F7F</t>
  </si>
  <si>
    <t xml:space="preserve">F8F</t>
  </si>
  <si>
    <t xml:space="preserve">Rnd</t>
  </si>
  <si>
    <t xml:space="preserve">818 Squadron</t>
  </si>
  <si>
    <t xml:space="preserve">Aichi B7A Ryuusei</t>
  </si>
  <si>
    <t xml:space="preserve">Blackburn Firebrand</t>
  </si>
  <si>
    <t xml:space="preserve">Fairey Albacore</t>
  </si>
  <si>
    <t xml:space="preserve">Fairey Swordfish</t>
  </si>
  <si>
    <t xml:space="preserve">Nakajima B5N</t>
  </si>
  <si>
    <t xml:space="preserve">Nakajima B6N Tenzan</t>
  </si>
  <si>
    <t xml:space="preserve">TBD Devastator</t>
  </si>
  <si>
    <t xml:space="preserve">TBF Avenger</t>
  </si>
  <si>
    <t xml:space="preserve">VT-8 Avenger</t>
  </si>
  <si>
    <t xml:space="preserve">VT-8 Devastator</t>
  </si>
  <si>
    <t xml:space="preserve">VT-18</t>
  </si>
  <si>
    <t xml:space="preserve">Blackburn Firecast</t>
  </si>
  <si>
    <t xml:space="preserve">Ju-87 D-4</t>
  </si>
  <si>
    <t xml:space="preserve">XBTD-1</t>
  </si>
  <si>
    <t xml:space="preserve">Wyvern</t>
  </si>
  <si>
    <t xml:space="preserve">Bomb Weight</t>
  </si>
  <si>
    <t xml:space="preserve">DMG</t>
  </si>
  <si>
    <t xml:space="preserve">Splash</t>
  </si>
  <si>
    <t xml:space="preserve">Torpedo Coeff</t>
  </si>
  <si>
    <t xml:space="preserve">Modifier</t>
  </si>
  <si>
    <t xml:space="preserve">102mm AA QF 4" Mk V</t>
  </si>
  <si>
    <t xml:space="preserve">12.7mm AA M2</t>
  </si>
  <si>
    <t xml:space="preserve">127mm AA Type 89</t>
  </si>
  <si>
    <t xml:space="preserve">20mm AA Oerlikon</t>
  </si>
  <si>
    <t xml:space="preserve">25mm AA Type 96</t>
  </si>
  <si>
    <t xml:space="preserve">2x100mm High-angle Cannon</t>
  </si>
  <si>
    <t xml:space="preserve">2x105mm SKC</t>
  </si>
  <si>
    <t xml:space="preserve">2x20mm AA Oerlikon</t>
  </si>
  <si>
    <t xml:space="preserve">2x25mm AA Type 96</t>
  </si>
  <si>
    <t xml:space="preserve">2x37mm AA SK C/30</t>
  </si>
  <si>
    <t xml:space="preserve">2x40mm AA L60 Bofors</t>
  </si>
  <si>
    <t xml:space="preserve">2x40mm Vickers pom-pom</t>
  </si>
  <si>
    <t xml:space="preserve">37mm AA 70K</t>
  </si>
  <si>
    <t xml:space="preserve">37mm ACAD</t>
  </si>
  <si>
    <t xml:space="preserve">3x25mm AA Type 96</t>
  </si>
  <si>
    <t xml:space="preserve">40mm Hazemeyer</t>
  </si>
  <si>
    <t xml:space="preserve">40mm Type 98</t>
  </si>
  <si>
    <t xml:space="preserve">4x20mm AA Flak</t>
  </si>
  <si>
    <t xml:space="preserve">4x28mm AA Chicago Piano</t>
  </si>
  <si>
    <t xml:space="preserve">4x40mm Bofors</t>
  </si>
  <si>
    <t xml:space="preserve">4x40mm Vickers Pom Pom</t>
  </si>
  <si>
    <t xml:space="preserve">76mm AA 3″/50 MK 22</t>
  </si>
  <si>
    <t xml:space="preserve">8x40mm Pom Pom</t>
  </si>
  <si>
    <t xml:space="preserve">BI-type 40mm</t>
  </si>
  <si>
    <t xml:space="preserve">90mm Model 1939</t>
  </si>
  <si>
    <t xml:space="preserve">134mm</t>
  </si>
  <si>
    <t xml:space="preserve">40mm PR</t>
  </si>
  <si>
    <t xml:space="preserve">76mmRF Mk27</t>
  </si>
  <si>
    <t xml:space="preserve">105mm SKC</t>
  </si>
  <si>
    <t xml:space="preserve">127mm Type 89</t>
  </si>
  <si>
    <t xml:space="preserve">25mm Type 96</t>
  </si>
  <si>
    <t xml:space="preserve">Stars</t>
  </si>
  <si>
    <t xml:space="preserve">Drop</t>
  </si>
  <si>
    <t xml:space="preserve">550mm 24V Torpedo</t>
  </si>
  <si>
    <t xml:space="preserve">★★★★</t>
  </si>
  <si>
    <t xml:space="preserve">80°</t>
  </si>
  <si>
    <t xml:space="preserve">Iris of the Light and the Dark</t>
  </si>
  <si>
    <t xml:space="preserve">G7a Torpedo</t>
  </si>
  <si>
    <t xml:space="preserve">G7e Acoustic Homing Torpedo</t>
  </si>
  <si>
    <t xml:space="preserve">★★★★★</t>
  </si>
  <si>
    <t xml:space="preserve">Mark 14 Torpedo</t>
  </si>
  <si>
    <t xml:space="preserve">Type 92 Battery-powered Torpedo</t>
  </si>
  <si>
    <t xml:space="preserve">90°</t>
  </si>
  <si>
    <t xml:space="preserve">Mark 12</t>
  </si>
  <si>
    <t xml:space="preserve">Mark 20 S</t>
  </si>
  <si>
    <t xml:space="preserve">Mark 28</t>
  </si>
  <si>
    <t xml:space="preserve">Type 96</t>
  </si>
  <si>
    <t xml:space="preserve">ShipType</t>
  </si>
  <si>
    <t xml:space="preserve">UTA</t>
  </si>
  <si>
    <t xml:space="preserve">CN</t>
  </si>
  <si>
    <t xml:space="preserve">HDN</t>
  </si>
  <si>
    <t xml:space="preserve">SN</t>
  </si>
</sst>
</file>

<file path=xl/styles.xml><?xml version="1.0" encoding="utf-8"?>
<styleSheet xmlns="http://schemas.openxmlformats.org/spreadsheetml/2006/main">
  <numFmts count="11">
    <numFmt numFmtId="164" formatCode="General"/>
    <numFmt numFmtId="165" formatCode="General"/>
    <numFmt numFmtId="166" formatCode="#,###"/>
    <numFmt numFmtId="167" formatCode="0%"/>
    <numFmt numFmtId="168" formatCode=";;;"/>
    <numFmt numFmtId="169" formatCode="0.00%"/>
    <numFmt numFmtId="170" formatCode="0.00"/>
    <numFmt numFmtId="171" formatCode="0"/>
    <numFmt numFmtId="172" formatCode="0.0%"/>
    <numFmt numFmtId="173" formatCode="0.0000%"/>
    <numFmt numFmtId="174" formatCode="0.0"/>
  </numFmts>
  <fonts count="49">
    <font>
      <sz val="11"/>
      <color rgb="FF000000"/>
      <name val="Calibri"/>
      <family val="2"/>
      <charset val="1"/>
    </font>
    <font>
      <sz val="10"/>
      <name val="Arial"/>
      <family val="0"/>
    </font>
    <font>
      <sz val="10"/>
      <name val="Arial"/>
      <family val="0"/>
    </font>
    <font>
      <sz val="10"/>
      <name val="Arial"/>
      <family val="0"/>
    </font>
    <font>
      <sz val="11"/>
      <color rgb="FF000000"/>
      <name val="Calibri"/>
      <family val="0"/>
    </font>
    <font>
      <sz val="11"/>
      <name val="Times New Roman"/>
      <family val="0"/>
    </font>
    <font>
      <i val="true"/>
      <sz val="11"/>
      <color rgb="FF000000"/>
      <name val="Calibri"/>
      <family val="0"/>
    </font>
    <font>
      <b val="true"/>
      <sz val="11"/>
      <color rgb="FF000000"/>
      <name val="Calibri"/>
      <family val="0"/>
    </font>
    <font>
      <sz val="11"/>
      <color rgb="FF000000"/>
      <name val="Cambria Math"/>
      <family val="0"/>
    </font>
    <font>
      <b val="true"/>
      <sz val="16"/>
      <color rgb="FFBDD7EE"/>
      <name val="Calibri"/>
      <family val="2"/>
      <charset val="1"/>
    </font>
    <font>
      <i val="true"/>
      <sz val="12"/>
      <color rgb="FFFFF2CC"/>
      <name val="Calibri"/>
      <family val="2"/>
      <charset val="1"/>
    </font>
    <font>
      <b val="true"/>
      <sz val="14"/>
      <color rgb="FFE2F0D9"/>
      <name val="Calibri"/>
      <family val="2"/>
      <charset val="1"/>
    </font>
    <font>
      <sz val="12"/>
      <color rgb="FFE2F0D9"/>
      <name val="Calibri"/>
      <family val="2"/>
      <charset val="1"/>
    </font>
    <font>
      <sz val="12"/>
      <color rgb="FFFF0000"/>
      <name val="Calibri"/>
      <family val="2"/>
      <charset val="1"/>
    </font>
    <font>
      <i val="true"/>
      <sz val="12"/>
      <color rgb="FFE2F0D9"/>
      <name val="Calibri"/>
      <family val="2"/>
      <charset val="1"/>
    </font>
    <font>
      <sz val="11"/>
      <color rgb="FFFFF2CC"/>
      <name val="Cambria Math"/>
      <family val="0"/>
    </font>
    <font>
      <i val="true"/>
      <sz val="11"/>
      <color rgb="FFFFD966"/>
      <name val="Calibri"/>
      <family val="2"/>
      <charset val="1"/>
    </font>
    <font>
      <sz val="11"/>
      <color rgb="FFFFD966"/>
      <name val="Calibri"/>
      <family val="2"/>
      <charset val="1"/>
    </font>
    <font>
      <sz val="11"/>
      <color rgb="FFA9D18E"/>
      <name val="Calibri"/>
      <family val="2"/>
      <charset val="1"/>
    </font>
    <font>
      <sz val="11"/>
      <name val="Calibri"/>
      <family val="2"/>
      <charset val="1"/>
    </font>
    <font>
      <sz val="11"/>
      <color rgb="FFC5E0B4"/>
      <name val="Calibri"/>
      <family val="2"/>
      <charset val="1"/>
    </font>
    <font>
      <sz val="11"/>
      <color rgb="FF9DC3E6"/>
      <name val="Calibri"/>
      <family val="2"/>
      <charset val="1"/>
    </font>
    <font>
      <sz val="11"/>
      <color rgb="FFD9D9D9"/>
      <name val="Calibri"/>
      <family val="2"/>
      <charset val="1"/>
    </font>
    <font>
      <sz val="10"/>
      <color rgb="FF9DC3E6"/>
      <name val="Calibri"/>
      <family val="2"/>
      <charset val="1"/>
    </font>
    <font>
      <sz val="11"/>
      <color rgb="FFFFFFFF"/>
      <name val="Calibri"/>
      <family val="2"/>
      <charset val="1"/>
    </font>
    <font>
      <i val="true"/>
      <sz val="11"/>
      <color rgb="FF9DC3E6"/>
      <name val="Calibri"/>
      <family val="2"/>
      <charset val="1"/>
    </font>
    <font>
      <sz val="10"/>
      <color rgb="FFFFFFFF"/>
      <name val="Arial"/>
      <family val="2"/>
      <charset val="1"/>
    </font>
    <font>
      <b val="true"/>
      <sz val="11"/>
      <color rgb="FF000000"/>
      <name val="Calibri"/>
      <family val="2"/>
      <charset val="1"/>
    </font>
    <font>
      <sz val="11"/>
      <color rgb="FF3B3838"/>
      <name val="Calibri"/>
      <family val="2"/>
      <charset val="1"/>
    </font>
    <font>
      <sz val="11"/>
      <color rgb="FFF2F2F2"/>
      <name val="Calibri"/>
      <family val="2"/>
      <charset val="1"/>
    </font>
    <font>
      <sz val="11"/>
      <color rgb="FFFFE699"/>
      <name val="Calibri"/>
      <family val="2"/>
      <charset val="1"/>
    </font>
    <font>
      <sz val="11"/>
      <color rgb="FFBDD7EE"/>
      <name val="Calibri"/>
      <family val="2"/>
      <charset val="1"/>
    </font>
    <font>
      <b val="true"/>
      <sz val="11"/>
      <color rgb="FFFFD966"/>
      <name val="Calibri"/>
      <family val="2"/>
      <charset val="1"/>
    </font>
    <font>
      <i val="true"/>
      <sz val="11"/>
      <color rgb="FF8FAADC"/>
      <name val="Calibri"/>
      <family val="2"/>
      <charset val="1"/>
    </font>
    <font>
      <sz val="11"/>
      <color rgb="FF8FAADC"/>
      <name val="Calibri"/>
      <family val="2"/>
      <charset val="1"/>
    </font>
    <font>
      <b val="true"/>
      <sz val="11"/>
      <color rgb="FFFFFFFF"/>
      <name val="Calibri"/>
      <family val="2"/>
      <charset val="1"/>
    </font>
    <font>
      <sz val="11"/>
      <color rgb="FFBFBFBF"/>
      <name val="Calibri"/>
      <family val="2"/>
      <charset val="1"/>
    </font>
    <font>
      <sz val="10"/>
      <color rgb="FF000000"/>
      <name val="Arial"/>
      <family val="2"/>
      <charset val="1"/>
    </font>
    <font>
      <sz val="11"/>
      <color rgb="FF000000"/>
      <name val="Microsoft YaHei"/>
      <family val="2"/>
      <charset val="1"/>
    </font>
    <font>
      <b val="true"/>
      <sz val="8"/>
      <color rgb="FF222222"/>
      <name val="Arial"/>
      <family val="2"/>
      <charset val="1"/>
    </font>
    <font>
      <sz val="11"/>
      <color rgb="FF0B0080"/>
      <name val="Calibri"/>
      <family val="2"/>
      <charset val="1"/>
    </font>
    <font>
      <sz val="11"/>
      <color rgb="FF843C0B"/>
      <name val="Calibri"/>
      <family val="2"/>
      <charset val="1"/>
    </font>
    <font>
      <sz val="11"/>
      <color rgb="FFFF0000"/>
      <name val="Calibri"/>
      <family val="2"/>
      <charset val="1"/>
    </font>
    <font>
      <sz val="11"/>
      <color rgb="FF0070C0"/>
      <name val="Calibri"/>
      <family val="2"/>
      <charset val="1"/>
    </font>
    <font>
      <sz val="11"/>
      <color rgb="FFC00000"/>
      <name val="Calibri"/>
      <family val="2"/>
      <charset val="1"/>
    </font>
    <font>
      <sz val="11"/>
      <color rgb="FF1F4E79"/>
      <name val="Calibri"/>
      <family val="2"/>
      <charset val="1"/>
    </font>
    <font>
      <sz val="11"/>
      <color rgb="FF7030A0"/>
      <name val="Calibri"/>
      <family val="2"/>
      <charset val="1"/>
    </font>
    <font>
      <sz val="11"/>
      <color rgb="FF843C0B"/>
      <name val="Calibri"/>
      <family val="0"/>
      <charset val="1"/>
    </font>
    <font>
      <sz val="11"/>
      <color rgb="FFFF0000"/>
      <name val="Calibri"/>
      <family val="0"/>
      <charset val="1"/>
    </font>
  </fonts>
  <fills count="12">
    <fill>
      <patternFill patternType="none"/>
    </fill>
    <fill>
      <patternFill patternType="gray125"/>
    </fill>
    <fill>
      <patternFill patternType="solid">
        <fgColor rgb="FF000000"/>
        <bgColor rgb="FF0D0D0D"/>
      </patternFill>
    </fill>
    <fill>
      <patternFill patternType="solid">
        <fgColor rgb="FF262626"/>
        <bgColor rgb="FF222222"/>
      </patternFill>
    </fill>
    <fill>
      <patternFill patternType="solid">
        <fgColor rgb="FF3B3838"/>
        <bgColor rgb="FF262626"/>
      </patternFill>
    </fill>
    <fill>
      <patternFill patternType="solid">
        <fgColor rgb="FF181717"/>
        <bgColor rgb="FF0D0D0D"/>
      </patternFill>
    </fill>
    <fill>
      <patternFill patternType="solid">
        <fgColor rgb="FF0D0D0D"/>
        <bgColor rgb="FF181717"/>
      </patternFill>
    </fill>
    <fill>
      <patternFill patternType="solid">
        <fgColor rgb="FFB80000"/>
        <bgColor rgb="FFC00000"/>
      </patternFill>
    </fill>
    <fill>
      <patternFill patternType="solid">
        <fgColor rgb="FF385724"/>
        <bgColor rgb="FF3B3838"/>
      </patternFill>
    </fill>
    <fill>
      <patternFill patternType="solid">
        <fgColor rgb="FFD9D9D9"/>
        <bgColor rgb="FFBDD7EE"/>
      </patternFill>
    </fill>
    <fill>
      <patternFill patternType="solid">
        <fgColor rgb="FF5B9BD5"/>
        <bgColor rgb="FF8FAADC"/>
      </patternFill>
    </fill>
    <fill>
      <patternFill patternType="solid">
        <fgColor rgb="FFDEEBF7"/>
        <bgColor rgb="FFE2F0D9"/>
      </patternFill>
    </fill>
  </fills>
  <borders count="35">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top style="medium"/>
      <bottom style="medium"/>
      <diagonal/>
    </border>
    <border diagonalUp="false" diagonalDown="false">
      <left style="thin"/>
      <right style="medium"/>
      <top style="medium"/>
      <bottom style="medium"/>
      <diagonal/>
    </border>
    <border diagonalUp="false" diagonalDown="false">
      <left/>
      <right style="medium"/>
      <top style="medium"/>
      <bottom/>
      <diagonal/>
    </border>
    <border diagonalUp="false" diagonalDown="false">
      <left/>
      <right style="medium"/>
      <top style="thin"/>
      <bottom style="medium"/>
      <diagonal/>
    </border>
    <border diagonalUp="false" diagonalDown="false">
      <left/>
      <right style="thin"/>
      <top/>
      <bottom/>
      <diagonal/>
    </border>
    <border diagonalUp="false" diagonalDown="false">
      <left style="thin"/>
      <right/>
      <top/>
      <bottom/>
      <diagonal/>
    </border>
    <border diagonalUp="false" diagonalDown="false">
      <left style="thin">
        <color rgb="FFBFBFBF"/>
      </left>
      <right/>
      <top/>
      <bottom/>
      <diagonal/>
    </border>
    <border diagonalUp="false" diagonalDown="false">
      <left/>
      <right style="thin">
        <color rgb="FFD9D9D9"/>
      </right>
      <top/>
      <bottom/>
      <diagonal/>
    </border>
    <border diagonalUp="false" diagonalDown="false">
      <left style="thin"/>
      <right/>
      <top/>
      <bottom style="thin">
        <color rgb="FFD9D9D9"/>
      </bottom>
      <diagonal/>
    </border>
    <border diagonalUp="false" diagonalDown="false">
      <left/>
      <right/>
      <top/>
      <bottom style="thin">
        <color rgb="FFD9D9D9"/>
      </bottom>
      <diagonal/>
    </border>
    <border diagonalUp="false" diagonalDown="false">
      <left/>
      <right/>
      <top/>
      <bottom style="thin">
        <color rgb="FFFFFFFF"/>
      </bottom>
      <diagonal/>
    </border>
    <border diagonalUp="false" diagonalDown="false">
      <left/>
      <right style="thin">
        <color rgb="FFBFBFBF"/>
      </right>
      <top/>
      <bottom/>
      <diagonal/>
    </border>
    <border diagonalUp="false" diagonalDown="false">
      <left style="thin"/>
      <right style="thin">
        <color rgb="FFD9D9D9"/>
      </right>
      <top/>
      <bottom/>
      <diagonal/>
    </border>
    <border diagonalUp="false" diagonalDown="false">
      <left/>
      <right style="thin"/>
      <top/>
      <bottom style="thin"/>
      <diagonal/>
    </border>
    <border diagonalUp="false" diagonalDown="false">
      <left style="thin">
        <color rgb="FFD9D9D9"/>
      </left>
      <right/>
      <top/>
      <bottom/>
      <diagonal/>
    </border>
    <border diagonalUp="false" diagonalDown="false">
      <left style="thin"/>
      <right style="thin">
        <color rgb="FFFFFFFF"/>
      </right>
      <top/>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color rgb="FFBFBFBF"/>
      </right>
      <top/>
      <bottom/>
      <diagonal/>
    </border>
    <border diagonalUp="false" diagonalDown="false">
      <left/>
      <right style="thin">
        <color rgb="FF808080"/>
      </right>
      <top/>
      <bottom/>
      <diagonal/>
    </border>
    <border diagonalUp="false" diagonalDown="false">
      <left style="thin">
        <color rgb="FF808080"/>
      </left>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color rgb="FF9DC3E6"/>
      </left>
      <right style="thin">
        <color rgb="FF9DC3E6"/>
      </right>
      <top/>
      <bottom style="thin">
        <color rgb="FF9DC3E6"/>
      </bottom>
      <diagonal/>
    </border>
    <border diagonalUp="false" diagonalDown="false">
      <left/>
      <right/>
      <top/>
      <bottom style="thin">
        <color rgb="FF9DC3E6"/>
      </bottom>
      <diagonal/>
    </border>
    <border diagonalUp="false" diagonalDown="false">
      <left/>
      <right/>
      <top style="thin">
        <color rgb="FF9DC3E6"/>
      </top>
      <bottom/>
      <diagonal/>
    </border>
    <border diagonalUp="false" diagonalDown="false">
      <left/>
      <right/>
      <top style="thin">
        <color rgb="FF9DC3E6"/>
      </top>
      <bottom style="thin">
        <color rgb="FF9DC3E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1" fillId="5" borderId="2" xfId="0" applyFont="true" applyBorder="true" applyAlignment="true" applyProtection="false">
      <alignment horizontal="center" vertical="center" textRotation="0" wrapText="false" indent="0" shrinkToFit="false"/>
      <protection locked="true" hidden="false"/>
    </xf>
    <xf numFmtId="164" fontId="12" fillId="4" borderId="3" xfId="0" applyFont="true" applyBorder="true" applyAlignment="true" applyProtection="false">
      <alignment horizontal="center" vertical="center" textRotation="0" wrapText="true" indent="0" shrinkToFit="false"/>
      <protection locked="true" hidden="false"/>
    </xf>
    <xf numFmtId="164" fontId="11" fillId="5" borderId="4" xfId="0" applyFont="true" applyBorder="true" applyAlignment="true" applyProtection="false">
      <alignment horizontal="center" vertical="center" textRotation="0" wrapText="false" indent="0" shrinkToFit="false"/>
      <protection locked="true" hidden="false"/>
    </xf>
    <xf numFmtId="164" fontId="12" fillId="4" borderId="5" xfId="0" applyFont="true" applyBorder="true" applyAlignment="true" applyProtection="false">
      <alignment horizontal="center" vertical="center" textRotation="0" wrapText="true" indent="0" shrinkToFit="false"/>
      <protection locked="true" hidden="false"/>
    </xf>
    <xf numFmtId="164" fontId="12" fillId="4" borderId="6" xfId="0" applyFont="true" applyBorder="true" applyAlignment="true" applyProtection="false">
      <alignment horizontal="left" vertical="center" textRotation="0" wrapText="true" indent="0" shrinkToFit="false"/>
      <protection locked="true" hidden="false"/>
    </xf>
    <xf numFmtId="164" fontId="12" fillId="4" borderId="7" xfId="0" applyFont="true" applyBorder="true" applyAlignment="true" applyProtection="false">
      <alignment horizontal="left" vertical="center" textRotation="0" wrapText="true" indent="0" shrinkToFit="false"/>
      <protection locked="true" hidden="false"/>
    </xf>
    <xf numFmtId="164" fontId="13" fillId="4" borderId="3"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16" fillId="6" borderId="0" xfId="0" applyFont="true" applyBorder="true" applyAlignment="true" applyProtection="false">
      <alignment horizontal="center" vertical="bottom" textRotation="0" wrapText="false" indent="0" shrinkToFit="false"/>
      <protection locked="true" hidden="false"/>
    </xf>
    <xf numFmtId="165" fontId="17" fillId="5" borderId="0" xfId="0" applyFont="true" applyBorder="true" applyAlignment="false" applyProtection="false">
      <alignment horizontal="general" vertical="bottom" textRotation="0" wrapText="false" indent="0" shrinkToFit="false"/>
      <protection locked="true" hidden="false"/>
    </xf>
    <xf numFmtId="164" fontId="18" fillId="5" borderId="0" xfId="0" applyFont="true" applyBorder="true" applyAlignment="false" applyProtection="false">
      <alignment horizontal="general" vertical="bottom" textRotation="0" wrapText="false" indent="0" shrinkToFit="false"/>
      <protection locked="true" hidden="false"/>
    </xf>
    <xf numFmtId="164" fontId="19" fillId="6" borderId="0" xfId="0" applyFont="true" applyBorder="false" applyAlignment="false" applyProtection="false">
      <alignment horizontal="general" vertical="bottom" textRotation="0" wrapText="false" indent="0" shrinkToFit="false"/>
      <protection locked="true" hidden="false"/>
    </xf>
    <xf numFmtId="164" fontId="17" fillId="5" borderId="9" xfId="0" applyFont="true" applyBorder="true" applyAlignment="false" applyProtection="false">
      <alignment horizontal="general" vertical="bottom" textRotation="0" wrapText="false" indent="0" shrinkToFit="false"/>
      <protection locked="true" hidden="false"/>
    </xf>
    <xf numFmtId="164" fontId="20" fillId="4" borderId="0" xfId="0" applyFont="true" applyBorder="true" applyAlignment="true" applyProtection="false">
      <alignment horizontal="right" vertical="bottom" textRotation="0" wrapText="false" indent="0" shrinkToFit="false"/>
      <protection locked="true" hidden="false"/>
    </xf>
    <xf numFmtId="164" fontId="17" fillId="5" borderId="10" xfId="0" applyFont="true" applyBorder="true" applyAlignment="false" applyProtection="false">
      <alignment horizontal="general" vertical="bottom" textRotation="0" wrapText="false" indent="0" shrinkToFit="false"/>
      <protection locked="true" hidden="false"/>
    </xf>
    <xf numFmtId="164" fontId="21" fillId="4" borderId="11" xfId="0" applyFont="true" applyBorder="true" applyAlignment="false" applyProtection="false">
      <alignment horizontal="general" vertical="bottom" textRotation="0" wrapText="false" indent="0" shrinkToFit="false"/>
      <protection locked="true" hidden="false"/>
    </xf>
    <xf numFmtId="165" fontId="22" fillId="4" borderId="0" xfId="0" applyFont="true" applyBorder="false" applyAlignment="true" applyProtection="false">
      <alignment horizontal="right"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4" fontId="21" fillId="4" borderId="12" xfId="0" applyFont="true" applyBorder="true" applyAlignment="false" applyProtection="false">
      <alignment horizontal="general" vertical="bottom" textRotation="0" wrapText="false" indent="0" shrinkToFit="false"/>
      <protection locked="true" hidden="false"/>
    </xf>
    <xf numFmtId="164" fontId="21" fillId="4" borderId="13" xfId="0" applyFont="true" applyBorder="true" applyAlignment="false" applyProtection="false">
      <alignment horizontal="general" vertical="bottom" textRotation="0" wrapText="false" indent="0" shrinkToFit="false"/>
      <protection locked="true" hidden="false"/>
    </xf>
    <xf numFmtId="164" fontId="21" fillId="4" borderId="14" xfId="0" applyFont="true" applyBorder="true" applyAlignment="false" applyProtection="false">
      <alignment horizontal="general" vertical="bottom" textRotation="0" wrapText="false" indent="0" shrinkToFit="false"/>
      <protection locked="true" hidden="false"/>
    </xf>
    <xf numFmtId="164" fontId="20" fillId="4" borderId="15" xfId="0" applyFont="true" applyBorder="true" applyAlignment="true" applyProtection="false">
      <alignment horizontal="right" vertical="bottom" textRotation="0" wrapText="false" indent="0" shrinkToFit="false"/>
      <protection locked="true" hidden="false"/>
    </xf>
    <xf numFmtId="165" fontId="22" fillId="4" borderId="0" xfId="0" applyFont="true" applyBorder="false" applyAlignment="false" applyProtection="false">
      <alignment horizontal="general" vertical="bottom" textRotation="0" wrapText="false" indent="0" shrinkToFit="false"/>
      <protection locked="true" hidden="false"/>
    </xf>
    <xf numFmtId="164" fontId="21" fillId="4" borderId="16" xfId="0" applyFont="true" applyBorder="true" applyAlignment="false" applyProtection="false">
      <alignment horizontal="general" vertical="bottom" textRotation="0" wrapText="false" indent="0" shrinkToFit="false"/>
      <protection locked="true" hidden="false"/>
    </xf>
    <xf numFmtId="166" fontId="24" fillId="0" borderId="17" xfId="0" applyFont="true" applyBorder="tru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true" applyAlignment="false" applyProtection="false">
      <alignment horizontal="general" vertical="bottom" textRotation="0" wrapText="false" indent="0" shrinkToFit="false"/>
      <protection locked="true" hidden="false"/>
    </xf>
    <xf numFmtId="165" fontId="22" fillId="4" borderId="18" xfId="0" applyFont="true" applyBorder="true" applyAlignment="false" applyProtection="false">
      <alignment horizontal="general" vertical="bottom" textRotation="0" wrapText="false" indent="0" shrinkToFit="false"/>
      <protection locked="true" hidden="false"/>
    </xf>
    <xf numFmtId="164" fontId="21" fillId="4" borderId="19" xfId="0" applyFont="true" applyBorder="true" applyAlignment="false" applyProtection="false">
      <alignment horizontal="general" vertical="bottom" textRotation="0" wrapText="false" indent="0" shrinkToFit="false"/>
      <protection locked="true" hidden="false"/>
    </xf>
    <xf numFmtId="164" fontId="25" fillId="6" borderId="0" xfId="0" applyFont="true" applyBorder="true" applyAlignment="true" applyProtection="false">
      <alignment horizontal="center" vertical="bottom" textRotation="0" wrapText="false" indent="0" shrinkToFit="false"/>
      <protection locked="true" hidden="false"/>
    </xf>
    <xf numFmtId="164" fontId="22" fillId="4" borderId="0" xfId="0" applyFont="true" applyBorder="true" applyAlignment="true" applyProtection="false">
      <alignment horizontal="right" vertical="bottom" textRotation="0" wrapText="false" indent="0" shrinkToFit="false"/>
      <protection locked="true" hidden="false"/>
    </xf>
    <xf numFmtId="164" fontId="22" fillId="4" borderId="18" xfId="0" applyFont="true" applyBorder="true" applyAlignment="true" applyProtection="false">
      <alignment horizontal="right" vertical="bottom" textRotation="0" wrapText="false" indent="0" shrinkToFit="false"/>
      <protection locked="true" hidden="false"/>
    </xf>
    <xf numFmtId="167" fontId="20" fillId="4" borderId="15" xfId="0" applyFont="true" applyBorder="true" applyAlignment="true" applyProtection="false">
      <alignment horizontal="right" vertical="bottom" textRotation="0" wrapText="false" indent="0" shrinkToFit="false"/>
      <protection locked="true" hidden="false"/>
    </xf>
    <xf numFmtId="164" fontId="20" fillId="4" borderId="0" xfId="0" applyFont="true" applyBorder="false" applyAlignment="true" applyProtection="false">
      <alignment horizontal="right" vertical="bottom" textRotation="0" wrapText="false" indent="0" shrinkToFit="false"/>
      <protection locked="true" hidden="false"/>
    </xf>
    <xf numFmtId="164" fontId="24" fillId="7" borderId="20" xfId="0" applyFont="true" applyBorder="true" applyAlignment="true" applyProtection="false">
      <alignment horizontal="center" vertical="center" textRotation="0" wrapText="false" indent="0" shrinkToFit="false"/>
      <protection locked="true" hidden="false"/>
    </xf>
    <xf numFmtId="168" fontId="26" fillId="0" borderId="21" xfId="0" applyFont="true" applyBorder="true" applyAlignment="true" applyProtection="false">
      <alignment horizontal="right" vertical="bottom" textRotation="0" wrapText="false" indent="0" shrinkToFit="false"/>
      <protection locked="true" hidden="false"/>
    </xf>
    <xf numFmtId="168" fontId="26" fillId="0" borderId="22" xfId="0" applyFont="true" applyBorder="true" applyAlignment="true" applyProtection="false">
      <alignment horizontal="right" vertical="bottom" textRotation="0" wrapText="false" indent="0" shrinkToFit="false"/>
      <protection locked="true" hidden="false"/>
    </xf>
    <xf numFmtId="164" fontId="24" fillId="8" borderId="21" xfId="0" applyFont="true" applyBorder="true" applyAlignment="true" applyProtection="false">
      <alignment horizontal="center" vertical="center" textRotation="0" wrapText="false" indent="0" shrinkToFit="false"/>
      <protection locked="true" hidden="false"/>
    </xf>
    <xf numFmtId="164" fontId="24" fillId="2" borderId="8" xfId="0" applyFont="true" applyBorder="true" applyAlignment="false" applyProtection="false">
      <alignment horizontal="general" vertical="bottom" textRotation="0" wrapText="false" indent="0" shrinkToFit="false"/>
      <protection locked="true" hidden="false"/>
    </xf>
    <xf numFmtId="169" fontId="22" fillId="4" borderId="0" xfId="0" applyFont="true" applyBorder="fals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17" fillId="3" borderId="0" xfId="0" applyFont="true" applyBorder="true" applyAlignment="false" applyProtection="false">
      <alignment horizontal="general" vertical="bottom" textRotation="0" wrapText="false" indent="0" shrinkToFit="false"/>
      <protection locked="true" hidden="false"/>
    </xf>
    <xf numFmtId="164" fontId="18" fillId="3" borderId="0" xfId="0" applyFont="true" applyBorder="true" applyAlignment="true" applyProtection="false">
      <alignment horizontal="center" vertical="bottom" textRotation="0" wrapText="false" indent="0" shrinkToFit="false"/>
      <protection locked="true" hidden="false"/>
    </xf>
    <xf numFmtId="164" fontId="21" fillId="4" borderId="0" xfId="0" applyFont="true" applyBorder="true" applyAlignment="true" applyProtection="false">
      <alignment horizontal="center" vertical="center" textRotation="0" wrapText="false" indent="0" shrinkToFit="false"/>
      <protection locked="true" hidden="false"/>
    </xf>
    <xf numFmtId="165" fontId="22" fillId="4" borderId="0" xfId="0" applyFont="true" applyBorder="true" applyAlignment="true" applyProtection="false">
      <alignment horizontal="center" vertical="center" textRotation="0" wrapText="false" indent="0" shrinkToFit="false"/>
      <protection locked="true" hidden="false"/>
    </xf>
    <xf numFmtId="164" fontId="21" fillId="4" borderId="0" xfId="0" applyFont="true" applyBorder="true" applyAlignment="true" applyProtection="false">
      <alignment horizontal="left" vertical="top" textRotation="0" wrapText="false" indent="0" shrinkToFit="false"/>
      <protection locked="true" hidden="false"/>
    </xf>
    <xf numFmtId="165" fontId="17" fillId="3" borderId="11" xfId="0" applyFont="true" applyBorder="true" applyAlignment="true" applyProtection="false">
      <alignment horizontal="left" vertical="center" textRotation="0" wrapText="true" indent="0" shrinkToFit="false"/>
      <protection locked="true" hidden="false"/>
    </xf>
    <xf numFmtId="165" fontId="22" fillId="4" borderId="0" xfId="0" applyFont="true" applyBorder="true" applyAlignment="true" applyProtection="false">
      <alignment horizontal="left" vertical="center" textRotation="0" wrapText="true" indent="0" shrinkToFit="false"/>
      <protection locked="true" hidden="false"/>
    </xf>
    <xf numFmtId="165" fontId="17" fillId="3" borderId="1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27" fillId="2" borderId="0" xfId="0" applyFont="true" applyBorder="false" applyAlignment="true" applyProtection="false">
      <alignment horizontal="right" vertical="top" textRotation="0" wrapText="false" indent="0" shrinkToFit="false"/>
      <protection locked="true" hidden="false"/>
    </xf>
    <xf numFmtId="164" fontId="17" fillId="5" borderId="0" xfId="0" applyFont="true" applyBorder="true" applyAlignment="false" applyProtection="false">
      <alignment horizontal="general" vertical="bottom" textRotation="0" wrapText="false" indent="0" shrinkToFit="false"/>
      <protection locked="true" hidden="false"/>
    </xf>
    <xf numFmtId="164" fontId="21" fillId="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25" fillId="6" borderId="9" xfId="0" applyFont="true" applyBorder="true" applyAlignment="true" applyProtection="false">
      <alignment horizontal="center" vertical="bottom" textRotation="0" wrapText="false" indent="0" shrinkToFit="false"/>
      <protection locked="true" hidden="false"/>
    </xf>
    <xf numFmtId="165" fontId="28" fillId="4" borderId="0" xfId="0" applyFont="true" applyBorder="true" applyAlignment="false" applyProtection="false">
      <alignment horizontal="general" vertical="bottom" textRotation="0" wrapText="false" indent="0" shrinkToFit="false"/>
      <protection locked="true" hidden="false"/>
    </xf>
    <xf numFmtId="165" fontId="21" fillId="4" borderId="0" xfId="0" applyFont="true" applyBorder="true" applyAlignment="false" applyProtection="false">
      <alignment horizontal="general" vertical="bottom" textRotation="0" wrapText="false" indent="0" shrinkToFit="false"/>
      <protection locked="true" hidden="false"/>
    </xf>
    <xf numFmtId="164" fontId="21" fillId="4" borderId="15" xfId="0" applyFont="true" applyBorder="true" applyAlignment="false" applyProtection="false">
      <alignment horizontal="general" vertical="bottom" textRotation="0" wrapText="false" indent="0" shrinkToFit="false"/>
      <protection locked="true" hidden="false"/>
    </xf>
    <xf numFmtId="164" fontId="21" fillId="4" borderId="0" xfId="0" applyFont="true" applyBorder="false" applyAlignment="false" applyProtection="false">
      <alignment horizontal="general" vertical="bottom" textRotation="0" wrapText="false" indent="0" shrinkToFit="false"/>
      <protection locked="true" hidden="false"/>
    </xf>
    <xf numFmtId="164" fontId="29" fillId="4" borderId="0" xfId="0" applyFont="true" applyBorder="false" applyAlignment="false" applyProtection="false">
      <alignment horizontal="general" vertical="bottom" textRotation="0" wrapText="false" indent="0" shrinkToFit="false"/>
      <protection locked="true" hidden="false"/>
    </xf>
    <xf numFmtId="164" fontId="21" fillId="4" borderId="0" xfId="0" applyFont="true" applyBorder="true" applyAlignment="true" applyProtection="false">
      <alignment horizontal="right" vertical="top" textRotation="0" wrapText="false" indent="0" shrinkToFit="false"/>
      <protection locked="true" hidden="false"/>
    </xf>
    <xf numFmtId="164" fontId="21" fillId="4" borderId="0" xfId="0" applyFont="true" applyBorder="true" applyAlignment="true" applyProtection="false">
      <alignment horizontal="center" vertical="bottom" textRotation="0" wrapText="false" indent="0" shrinkToFit="false"/>
      <protection locked="true" hidden="false"/>
    </xf>
    <xf numFmtId="164" fontId="17" fillId="4" borderId="0" xfId="0" applyFont="true" applyBorder="true" applyAlignment="false" applyProtection="false">
      <alignment horizontal="general" vertical="bottom" textRotation="0" wrapText="false" indent="0" shrinkToFit="false"/>
      <protection locked="true" hidden="false"/>
    </xf>
    <xf numFmtId="164" fontId="17" fillId="4" borderId="15" xfId="0" applyFont="true" applyBorder="true" applyAlignment="false" applyProtection="false">
      <alignment horizontal="general" vertical="bottom" textRotation="0" wrapText="false" indent="0" shrinkToFit="false"/>
      <protection locked="true" hidden="false"/>
    </xf>
    <xf numFmtId="170" fontId="22" fillId="4" borderId="15" xfId="0" applyFont="true" applyBorder="true" applyAlignment="false" applyProtection="false">
      <alignment horizontal="general" vertical="bottom" textRotation="0" wrapText="false" indent="0" shrinkToFit="false"/>
      <protection locked="true" hidden="false"/>
    </xf>
    <xf numFmtId="170" fontId="22" fillId="4" borderId="0" xfId="0" applyFont="true" applyBorder="false" applyAlignment="false" applyProtection="false">
      <alignment horizontal="general" vertical="bottom" textRotation="0" wrapText="false" indent="0" shrinkToFit="false"/>
      <protection locked="true" hidden="false"/>
    </xf>
    <xf numFmtId="171" fontId="22" fillId="4" borderId="0" xfId="0" applyFont="true" applyBorder="false" applyAlignment="false" applyProtection="false">
      <alignment horizontal="general" vertical="bottom" textRotation="0" wrapText="false" indent="0" shrinkToFit="false"/>
      <protection locked="true" hidden="false"/>
    </xf>
    <xf numFmtId="165" fontId="22" fillId="4" borderId="0" xfId="0" applyFont="true" applyBorder="true" applyAlignment="false" applyProtection="false">
      <alignment horizontal="general" vertical="bottom" textRotation="0" wrapText="false" indent="0" shrinkToFit="false"/>
      <protection locked="true" hidden="false"/>
    </xf>
    <xf numFmtId="164" fontId="21" fillId="4" borderId="23" xfId="0" applyFont="true" applyBorder="true" applyAlignment="false" applyProtection="false">
      <alignment horizontal="general" vertical="bottom" textRotation="0" wrapText="false" indent="0" shrinkToFit="false"/>
      <protection locked="true" hidden="false"/>
    </xf>
    <xf numFmtId="165" fontId="22" fillId="4" borderId="11" xfId="0" applyFont="true" applyBorder="true" applyAlignment="true" applyProtection="false">
      <alignment horizontal="right" vertical="top" textRotation="0" wrapText="false" indent="0" shrinkToFit="false"/>
      <protection locked="true" hidden="false"/>
    </xf>
    <xf numFmtId="164" fontId="29" fillId="4" borderId="0" xfId="0" applyFont="true" applyBorder="true" applyAlignment="false" applyProtection="false">
      <alignment horizontal="general" vertical="bottom" textRotation="0" wrapText="false" indent="0" shrinkToFit="false"/>
      <protection locked="true" hidden="false"/>
    </xf>
    <xf numFmtId="164" fontId="22" fillId="4" borderId="15" xfId="0" applyFont="true" applyBorder="true" applyAlignment="false" applyProtection="false">
      <alignment horizontal="general" vertical="bottom" textRotation="0" wrapText="false" indent="0" shrinkToFit="false"/>
      <protection locked="true" hidden="false"/>
    </xf>
    <xf numFmtId="169" fontId="22" fillId="4" borderId="11" xfId="0" applyFont="true" applyBorder="true" applyAlignment="true" applyProtection="false">
      <alignment horizontal="right" vertical="top" textRotation="0" wrapText="false" indent="0" shrinkToFit="false"/>
      <protection locked="true" hidden="false"/>
    </xf>
    <xf numFmtId="164" fontId="30" fillId="4" borderId="15" xfId="0" applyFont="true" applyBorder="true" applyAlignment="false" applyProtection="false">
      <alignment horizontal="general" vertical="bottom" textRotation="0" wrapText="false" indent="0" shrinkToFit="false"/>
      <protection locked="true" hidden="false"/>
    </xf>
    <xf numFmtId="170" fontId="22" fillId="4" borderId="0" xfId="0" applyFont="true" applyBorder="true" applyAlignment="false" applyProtection="false">
      <alignment horizontal="general" vertical="bottom" textRotation="0" wrapText="false" indent="0" shrinkToFit="false"/>
      <protection locked="true" hidden="false"/>
    </xf>
    <xf numFmtId="164" fontId="16" fillId="5" borderId="9" xfId="0" applyFont="true" applyBorder="true" applyAlignment="true" applyProtection="false">
      <alignment horizontal="center" vertical="bottom" textRotation="0" wrapText="false" indent="0" shrinkToFit="false"/>
      <protection locked="true" hidden="false"/>
    </xf>
    <xf numFmtId="169" fontId="20" fillId="4" borderId="24" xfId="0" applyFont="true" applyBorder="true" applyAlignment="false" applyProtection="false">
      <alignment horizontal="general" vertical="bottom" textRotation="0" wrapText="false" indent="0" shrinkToFit="false"/>
      <protection locked="true" hidden="false"/>
    </xf>
    <xf numFmtId="164" fontId="17" fillId="5" borderId="0" xfId="0" applyFont="true" applyBorder="false" applyAlignment="false" applyProtection="false">
      <alignment horizontal="general" vertical="bottom" textRotation="0" wrapText="false" indent="0" shrinkToFit="false"/>
      <protection locked="true" hidden="false"/>
    </xf>
    <xf numFmtId="164" fontId="30" fillId="5" borderId="0" xfId="0" applyFont="true" applyBorder="false" applyAlignment="false" applyProtection="false">
      <alignment horizontal="general" vertical="bottom" textRotation="0" wrapText="false" indent="0" shrinkToFit="false"/>
      <protection locked="true" hidden="false"/>
    </xf>
    <xf numFmtId="164" fontId="18" fillId="4" borderId="24" xfId="0" applyFont="true" applyBorder="true" applyAlignment="false" applyProtection="false">
      <alignment horizontal="general" vertical="bottom" textRotation="0" wrapText="false" indent="0" shrinkToFit="false"/>
      <protection locked="true" hidden="false"/>
    </xf>
    <xf numFmtId="164" fontId="17" fillId="5" borderId="25" xfId="0" applyFont="true" applyBorder="true" applyAlignment="true" applyProtection="false">
      <alignment horizontal="left" vertical="bottom" textRotation="0" wrapText="false" indent="0" shrinkToFit="false"/>
      <protection locked="true" hidden="false"/>
    </xf>
    <xf numFmtId="169" fontId="18" fillId="4" borderId="2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29" fillId="4" borderId="24" xfId="0" applyFont="true" applyBorder="true" applyAlignment="false" applyProtection="false">
      <alignment horizontal="general" vertical="bottom" textRotation="0" wrapText="false" indent="0" shrinkToFit="false"/>
      <protection locked="true" hidden="false"/>
    </xf>
    <xf numFmtId="164" fontId="20" fillId="4" borderId="24" xfId="0" applyFont="true" applyBorder="true" applyAlignment="false" applyProtection="false">
      <alignment horizontal="general" vertical="bottom" textRotation="0" wrapText="false" indent="0" shrinkToFit="false"/>
      <protection locked="true" hidden="false"/>
    </xf>
    <xf numFmtId="169" fontId="22" fillId="4" borderId="0" xfId="0" applyFont="true" applyBorder="true" applyAlignment="false" applyProtection="false">
      <alignment horizontal="general" vertical="bottom" textRotation="0" wrapText="false" indent="0" shrinkToFit="false"/>
      <protection locked="true" hidden="false"/>
    </xf>
    <xf numFmtId="164" fontId="21" fillId="4" borderId="9" xfId="0" applyFont="true" applyBorder="true" applyAlignment="false" applyProtection="false">
      <alignment horizontal="general" vertical="bottom" textRotation="0" wrapText="false" indent="0" shrinkToFit="false"/>
      <protection locked="true" hidden="false"/>
    </xf>
    <xf numFmtId="164" fontId="31" fillId="4" borderId="15"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true" applyAlignment="false" applyProtection="false">
      <alignment horizontal="general" vertical="bottom" textRotation="0" wrapText="false" indent="0" shrinkToFit="false"/>
      <protection locked="true" hidden="false"/>
    </xf>
    <xf numFmtId="164" fontId="32" fillId="5" borderId="0" xfId="0" applyFont="true" applyBorder="false" applyAlignment="false" applyProtection="false">
      <alignment horizontal="general" vertical="bottom" textRotation="0" wrapText="false" indent="0" shrinkToFit="false"/>
      <protection locked="true" hidden="false"/>
    </xf>
    <xf numFmtId="165" fontId="22" fillId="4" borderId="24" xfId="0" applyFont="true" applyBorder="true" applyAlignment="false" applyProtection="false">
      <alignment horizontal="general" vertical="bottom" textRotation="0" wrapText="false" indent="0" shrinkToFit="false"/>
      <protection locked="true" hidden="false"/>
    </xf>
    <xf numFmtId="164" fontId="0" fillId="2" borderId="22" xfId="0" applyFont="false" applyBorder="true" applyAlignment="false" applyProtection="false">
      <alignment horizontal="general" vertical="bottom" textRotation="0" wrapText="false" indent="0" shrinkToFit="false"/>
      <protection locked="true" hidden="false"/>
    </xf>
    <xf numFmtId="164" fontId="22" fillId="4" borderId="0" xfId="0" applyFont="true" applyBorder="true" applyAlignment="true" applyProtection="false">
      <alignment horizontal="right" vertical="top"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9" fontId="17" fillId="2" borderId="0" xfId="0" applyFont="true" applyBorder="false" applyAlignment="false" applyProtection="false">
      <alignment horizontal="general" vertical="bottom" textRotation="0" wrapText="false" indent="0" shrinkToFit="false"/>
      <protection locked="true" hidden="false"/>
    </xf>
    <xf numFmtId="164" fontId="18" fillId="4" borderId="0" xfId="0" applyFont="true" applyBorder="true" applyAlignment="true" applyProtection="false">
      <alignment horizontal="center" vertical="bottom" textRotation="0" wrapText="false" indent="0" shrinkToFit="false"/>
      <protection locked="true" hidden="false"/>
    </xf>
    <xf numFmtId="167" fontId="18" fillId="4" borderId="0" xfId="0" applyFont="true" applyBorder="false" applyAlignment="false" applyProtection="false">
      <alignment horizontal="general" vertical="bottom" textRotation="0" wrapText="false" indent="0" shrinkToFit="false"/>
      <protection locked="true" hidden="false"/>
    </xf>
    <xf numFmtId="169" fontId="18" fillId="4" borderId="0" xfId="0" applyFont="true" applyBorder="false" applyAlignment="false" applyProtection="false">
      <alignment horizontal="general" vertical="bottom" textRotation="0" wrapText="false" indent="0" shrinkToFit="false"/>
      <protection locked="true" hidden="false"/>
    </xf>
    <xf numFmtId="164" fontId="18" fillId="4" borderId="0" xfId="0" applyFont="true" applyBorder="false" applyAlignment="false" applyProtection="false">
      <alignment horizontal="general" vertical="bottom" textRotation="0" wrapText="false" indent="0" shrinkToFit="false"/>
      <protection locked="true" hidden="false"/>
    </xf>
    <xf numFmtId="171" fontId="22" fillId="4" borderId="11" xfId="0" applyFont="true" applyBorder="true" applyAlignment="true" applyProtection="false">
      <alignment horizontal="right" vertical="top" textRotation="0" wrapText="false" indent="0" shrinkToFit="false"/>
      <protection locked="true" hidden="false"/>
    </xf>
    <xf numFmtId="172" fontId="22" fillId="4" borderId="11" xfId="0" applyFont="true" applyBorder="true" applyAlignment="true" applyProtection="false">
      <alignment horizontal="right" vertical="top" textRotation="0" wrapText="false" indent="0" shrinkToFit="false"/>
      <protection locked="true" hidden="false"/>
    </xf>
    <xf numFmtId="172" fontId="22" fillId="4" borderId="0" xfId="0" applyFont="true" applyBorder="false" applyAlignment="false" applyProtection="false">
      <alignment horizontal="general" vertical="bottom" textRotation="0" wrapText="false" indent="0" shrinkToFit="false"/>
      <protection locked="true" hidden="false"/>
    </xf>
    <xf numFmtId="164" fontId="21" fillId="6" borderId="0" xfId="0" applyFont="true" applyBorder="false" applyAlignment="false" applyProtection="false">
      <alignment horizontal="general" vertical="bottom" textRotation="0" wrapText="false" indent="0" shrinkToFit="false"/>
      <protection locked="true" hidden="false"/>
    </xf>
    <xf numFmtId="170" fontId="22" fillId="4" borderId="11" xfId="0" applyFont="true" applyBorder="true" applyAlignment="true" applyProtection="false">
      <alignment horizontal="right" vertical="top"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70" fontId="0" fillId="4" borderId="0" xfId="0" applyFont="false" applyBorder="false" applyAlignment="false" applyProtection="false">
      <alignment horizontal="general" vertical="bottom" textRotation="0" wrapText="false" indent="0" shrinkToFit="false"/>
      <protection locked="true" hidden="false"/>
    </xf>
    <xf numFmtId="170" fontId="21" fillId="4"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31" fillId="4" borderId="0" xfId="0" applyFont="true" applyBorder="false" applyAlignment="false" applyProtection="false">
      <alignment horizontal="general" vertical="bottom" textRotation="0" wrapText="false" indent="0" shrinkToFit="false"/>
      <protection locked="true" hidden="false"/>
    </xf>
    <xf numFmtId="171" fontId="29" fillId="4" borderId="0" xfId="0" applyFont="true" applyBorder="false" applyAlignment="false" applyProtection="false">
      <alignment horizontal="general" vertical="bottom" textRotation="0" wrapText="false" indent="0" shrinkToFit="false"/>
      <protection locked="true" hidden="false"/>
    </xf>
    <xf numFmtId="171" fontId="29" fillId="4" borderId="15" xfId="0" applyFont="true" applyBorder="true" applyAlignment="false" applyProtection="false">
      <alignment horizontal="general" vertical="bottom" textRotation="0" wrapText="false" indent="0" shrinkToFit="false"/>
      <protection locked="true" hidden="false"/>
    </xf>
    <xf numFmtId="169" fontId="22" fillId="4" borderId="15" xfId="0" applyFont="true" applyBorder="true" applyAlignment="false" applyProtection="false">
      <alignment horizontal="general" vertical="bottom" textRotation="0" wrapText="false" indent="0" shrinkToFit="false"/>
      <protection locked="true" hidden="false"/>
    </xf>
    <xf numFmtId="164" fontId="16" fillId="4" borderId="0" xfId="0" applyFont="true" applyBorder="true" applyAlignment="true" applyProtection="false">
      <alignment horizontal="general" vertical="bottom" textRotation="0" wrapText="false" indent="0" shrinkToFit="false"/>
      <protection locked="true" hidden="false"/>
    </xf>
    <xf numFmtId="170" fontId="18" fillId="4" borderId="24" xfId="0" applyFont="true" applyBorder="true" applyAlignment="false" applyProtection="false">
      <alignment horizontal="general" vertical="bottom" textRotation="0" wrapText="false" indent="0" shrinkToFit="false"/>
      <protection locked="true" hidden="false"/>
    </xf>
    <xf numFmtId="171" fontId="18" fillId="4" borderId="24" xfId="0" applyFont="true" applyBorder="true" applyAlignment="false" applyProtection="false">
      <alignment horizontal="general" vertical="bottom" textRotation="0" wrapText="false" indent="0" shrinkToFit="false"/>
      <protection locked="true" hidden="false"/>
    </xf>
    <xf numFmtId="170" fontId="20" fillId="4" borderId="24" xfId="0" applyFont="true" applyBorder="true" applyAlignment="false" applyProtection="false">
      <alignment horizontal="general" vertical="bottom" textRotation="0" wrapText="false" indent="0" shrinkToFit="false"/>
      <protection locked="true" hidden="false"/>
    </xf>
    <xf numFmtId="164" fontId="18" fillId="4" borderId="24" xfId="0" applyFont="true" applyBorder="true" applyAlignment="true" applyProtection="false">
      <alignment horizontal="right" vertical="bottom" textRotation="0" wrapText="false" indent="0" shrinkToFit="false"/>
      <protection locked="true" hidden="false"/>
    </xf>
    <xf numFmtId="173" fontId="22" fillId="4" borderId="0" xfId="0" applyFont="true" applyBorder="false" applyAlignment="false" applyProtection="false">
      <alignment horizontal="general" vertical="bottom" textRotation="0" wrapText="false" indent="0" shrinkToFit="false"/>
      <protection locked="true" hidden="false"/>
    </xf>
    <xf numFmtId="167" fontId="18" fillId="4" borderId="24" xfId="0" applyFont="true" applyBorder="true" applyAlignment="false" applyProtection="false">
      <alignment horizontal="general" vertical="bottom" textRotation="0" wrapText="false" indent="0" shrinkToFit="false"/>
      <protection locked="true" hidden="false"/>
    </xf>
    <xf numFmtId="169" fontId="21" fillId="5" borderId="0" xfId="0" applyFont="true" applyBorder="true" applyAlignment="false" applyProtection="false">
      <alignment horizontal="general" vertical="bottom" textRotation="0" wrapText="false" indent="0" shrinkToFit="false"/>
      <protection locked="true" hidden="false"/>
    </xf>
    <xf numFmtId="170" fontId="21" fillId="5" borderId="0" xfId="0" applyFont="true" applyBorder="true" applyAlignment="false" applyProtection="false">
      <alignment horizontal="general" vertical="bottom" textRotation="0" wrapText="false" indent="0" shrinkToFit="false"/>
      <protection locked="true" hidden="false"/>
    </xf>
    <xf numFmtId="164" fontId="33" fillId="6" borderId="0" xfId="0" applyFont="true" applyBorder="true" applyAlignment="true" applyProtection="false">
      <alignment horizontal="center" vertical="bottom" textRotation="0" wrapText="false" indent="0" shrinkToFit="false"/>
      <protection locked="true" hidden="false"/>
    </xf>
    <xf numFmtId="164" fontId="34" fillId="4" borderId="0" xfId="0" applyFont="true" applyBorder="false" applyAlignment="false" applyProtection="false">
      <alignment horizontal="general" vertical="bottom" textRotation="0" wrapText="false" indent="0" shrinkToFit="false"/>
      <protection locked="true" hidden="false"/>
    </xf>
    <xf numFmtId="169" fontId="20" fillId="4" borderId="24" xfId="0" applyFont="true" applyBorder="true" applyAlignment="true" applyProtection="false">
      <alignment horizontal="center" vertical="center" textRotation="0" wrapText="false" indent="0" shrinkToFit="false"/>
      <protection locked="true" hidden="false"/>
    </xf>
    <xf numFmtId="164" fontId="24" fillId="4" borderId="0" xfId="0" applyFont="true" applyBorder="true" applyAlignment="false" applyProtection="false">
      <alignment horizontal="general" vertical="bottom" textRotation="0" wrapText="false" indent="0" shrinkToFit="false"/>
      <protection locked="true" hidden="false"/>
    </xf>
    <xf numFmtId="170" fontId="34" fillId="4" borderId="0" xfId="0" applyFont="true" applyBorder="false" applyAlignment="false" applyProtection="false">
      <alignment horizontal="general" vertical="bottom" textRotation="0" wrapText="false" indent="0" shrinkToFit="false"/>
      <protection locked="true" hidden="false"/>
    </xf>
    <xf numFmtId="164" fontId="29" fillId="4" borderId="15" xfId="0" applyFont="true" applyBorder="true" applyAlignment="false" applyProtection="false">
      <alignment horizontal="general" vertical="bottom" textRotation="0" wrapText="false" indent="0" shrinkToFit="false"/>
      <protection locked="true" hidden="false"/>
    </xf>
    <xf numFmtId="164" fontId="35" fillId="2" borderId="0" xfId="0" applyFont="true" applyBorder="false" applyAlignment="false" applyProtection="false">
      <alignment horizontal="general" vertical="bottom" textRotation="0" wrapText="false" indent="0" shrinkToFit="false"/>
      <protection locked="true" hidden="false"/>
    </xf>
    <xf numFmtId="169" fontId="20" fillId="4" borderId="0" xfId="0" applyFont="true" applyBorder="false" applyAlignment="false" applyProtection="false">
      <alignment horizontal="general" vertical="bottom" textRotation="0" wrapText="false" indent="0" shrinkToFit="false"/>
      <protection locked="true" hidden="false"/>
    </xf>
    <xf numFmtId="164" fontId="36" fillId="6" borderId="0" xfId="0" applyFont="true" applyBorder="false" applyAlignment="fals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center" vertical="bottom" textRotation="0" wrapText="false" indent="0" shrinkToFit="false"/>
      <protection locked="true" hidden="false"/>
    </xf>
    <xf numFmtId="171" fontId="22" fillId="4" borderId="0" xfId="0" applyFont="true" applyBorder="true" applyAlignment="fals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5" fontId="29" fillId="4" borderId="1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35" fillId="2" borderId="26" xfId="0" applyFont="true" applyBorder="true" applyAlignment="false" applyProtection="false">
      <alignment horizontal="general" vertical="bottom" textRotation="0" wrapText="false" indent="0" shrinkToFit="false"/>
      <protection locked="true" hidden="false"/>
    </xf>
    <xf numFmtId="164" fontId="0" fillId="9" borderId="27" xfId="0" applyFont="true" applyBorder="true" applyAlignment="false" applyProtection="false">
      <alignment horizontal="general" vertical="bottom" textRotation="0" wrapText="false" indent="0" shrinkToFit="false"/>
      <protection locked="true" hidden="false"/>
    </xf>
    <xf numFmtId="167" fontId="0" fillId="9" borderId="27"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7" fontId="3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7" fontId="0" fillId="0" borderId="26"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5" fillId="2" borderId="28" xfId="0" applyFont="true" applyBorder="true" applyAlignment="false" applyProtection="false">
      <alignment horizontal="general" vertical="bottom" textRotation="0" wrapText="false" indent="0" shrinkToFit="false"/>
      <protection locked="true" hidden="false"/>
    </xf>
    <xf numFmtId="164" fontId="35" fillId="2" borderId="27" xfId="0" applyFont="true" applyBorder="true" applyAlignment="false" applyProtection="false">
      <alignment horizontal="general" vertical="bottom" textRotation="0" wrapText="false" indent="0" shrinkToFit="false"/>
      <protection locked="true" hidden="false"/>
    </xf>
    <xf numFmtId="164" fontId="0" fillId="9" borderId="29" xfId="0" applyFont="true" applyBorder="true" applyAlignment="false" applyProtection="false">
      <alignment horizontal="general" vertical="bottom" textRotation="0" wrapText="false" indent="0" shrinkToFit="false"/>
      <protection locked="true" hidden="false"/>
    </xf>
    <xf numFmtId="164" fontId="0" fillId="9" borderId="30"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center" vertical="bottom" textRotation="0" wrapText="false" indent="0" shrinkToFit="false"/>
      <protection locked="true" hidden="false"/>
    </xf>
    <xf numFmtId="171" fontId="24" fillId="0" borderId="0" xfId="0" applyFont="true" applyBorder="false" applyAlignment="false" applyProtection="false">
      <alignment horizontal="general" vertical="bottom" textRotation="0" wrapText="false" indent="0" shrinkToFit="false"/>
      <protection locked="true" hidden="false"/>
    </xf>
    <xf numFmtId="174" fontId="0" fillId="0" borderId="22" xfId="0" applyFont="false" applyBorder="true" applyAlignment="true" applyProtection="false">
      <alignment horizontal="center" vertical="bottom" textRotation="0" wrapText="false" indent="0" shrinkToFit="false"/>
      <protection locked="true" hidden="false"/>
    </xf>
    <xf numFmtId="167" fontId="41" fillId="0" borderId="0" xfId="0" applyFont="true" applyBorder="false" applyAlignment="false" applyProtection="false">
      <alignment horizontal="general" vertical="bottom" textRotation="0" wrapText="false" indent="0" shrinkToFit="false"/>
      <protection locked="true" hidden="false"/>
    </xf>
    <xf numFmtId="171" fontId="42"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7" fontId="41" fillId="0" borderId="0" xfId="0" applyFont="true" applyBorder="false" applyAlignment="true" applyProtection="false">
      <alignment horizontal="general" vertical="bottom" textRotation="0" wrapText="true" indent="0" shrinkToFit="false"/>
      <protection locked="true" hidden="false"/>
    </xf>
    <xf numFmtId="171" fontId="42" fillId="0" borderId="0" xfId="0" applyFont="true" applyBorder="false" applyAlignment="true" applyProtection="false">
      <alignment horizontal="general" vertical="bottom" textRotation="0" wrapText="true" indent="0" shrinkToFit="false"/>
      <protection locked="true" hidden="false"/>
    </xf>
    <xf numFmtId="171"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74" fontId="42" fillId="0" borderId="0" xfId="0" applyFont="true" applyBorder="false" applyAlignment="false" applyProtection="false">
      <alignment horizontal="general" vertical="bottom" textRotation="0" wrapText="false" indent="0" shrinkToFit="false"/>
      <protection locked="true" hidden="false"/>
    </xf>
    <xf numFmtId="169" fontId="45" fillId="0" borderId="0" xfId="0" applyFont="true" applyBorder="false" applyAlignment="false" applyProtection="false">
      <alignment horizontal="general" vertical="bottom" textRotation="0" wrapText="false" indent="0" shrinkToFit="false"/>
      <protection locked="true" hidden="false"/>
    </xf>
    <xf numFmtId="170" fontId="45"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72" fontId="41" fillId="0" borderId="0" xfId="0" applyFont="true" applyBorder="false" applyAlignment="false" applyProtection="false">
      <alignment horizontal="general" vertical="bottom" textRotation="0" wrapText="false" indent="0" shrinkToFit="false"/>
      <protection locked="true" hidden="false"/>
    </xf>
    <xf numFmtId="167" fontId="42" fillId="0" borderId="0" xfId="0" applyFont="true" applyBorder="false" applyAlignment="false" applyProtection="false">
      <alignment horizontal="general" vertical="bottom" textRotation="0" wrapText="false" indent="0" shrinkToFit="false"/>
      <protection locked="true" hidden="false"/>
    </xf>
    <xf numFmtId="167" fontId="47"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35" fillId="10" borderId="31"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5" fillId="10" borderId="32" xfId="0" applyFont="true" applyBorder="true" applyAlignment="false" applyProtection="false">
      <alignment horizontal="general" vertical="bottom" textRotation="0" wrapText="false" indent="0" shrinkToFit="false"/>
      <protection locked="true" hidden="false"/>
    </xf>
    <xf numFmtId="164" fontId="0" fillId="11" borderId="33" xfId="0" applyFont="true" applyBorder="true" applyAlignment="false" applyProtection="false">
      <alignment horizontal="general" vertical="bottom" textRotation="0" wrapText="false" indent="0" shrinkToFit="false"/>
      <protection locked="true" hidden="false"/>
    </xf>
    <xf numFmtId="164" fontId="0" fillId="11" borderId="34"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9DC3E6"/>
      </font>
      <fill>
        <patternFill>
          <bgColor rgb="FF3B3838"/>
        </patternFill>
      </fill>
    </dxf>
    <dxf>
      <font>
        <color rgb="FFFFFFFF"/>
      </font>
      <fill>
        <patternFill>
          <bgColor rgb="FF002060"/>
        </patternFill>
      </fill>
    </dxf>
    <dxf>
      <font>
        <color rgb="FF9DC3E6"/>
      </font>
      <fill>
        <patternFill>
          <bgColor rgb="FF3B3838"/>
        </patternFill>
      </fill>
    </dxf>
  </dxfs>
  <colors>
    <indexedColors>
      <rgbColor rgb="FF000000"/>
      <rgbColor rgb="FFFFFFFF"/>
      <rgbColor rgb="FFFF0000"/>
      <rgbColor rgb="FF00FF00"/>
      <rgbColor rgb="FF0000FF"/>
      <rgbColor rgb="FFFFFF00"/>
      <rgbColor rgb="FFFF00FF"/>
      <rgbColor rgb="FF00FFFF"/>
      <rgbColor rgb="FFB80000"/>
      <rgbColor rgb="FF385724"/>
      <rgbColor rgb="FF0B0080"/>
      <rgbColor rgb="FF808000"/>
      <rgbColor rgb="FF800080"/>
      <rgbColor rgb="FF008080"/>
      <rgbColor rgb="FFBFBFBF"/>
      <rgbColor rgb="FF808080"/>
      <rgbColor rgb="FF8FAADC"/>
      <rgbColor rgb="FF7030A0"/>
      <rgbColor rgb="FFFFF2CC"/>
      <rgbColor rgb="FFDEEBF7"/>
      <rgbColor rgb="FF181717"/>
      <rgbColor rgb="FFFF8080"/>
      <rgbColor rgb="FF0070C0"/>
      <rgbColor rgb="FFBDD7EE"/>
      <rgbColor rgb="FF0D0D0D"/>
      <rgbColor rgb="FFFF00FF"/>
      <rgbColor rgb="FFFFFF00"/>
      <rgbColor rgb="FF00FFFF"/>
      <rgbColor rgb="FF800080"/>
      <rgbColor rgb="FFC00000"/>
      <rgbColor rgb="FF008080"/>
      <rgbColor rgb="FF0000FF"/>
      <rgbColor rgb="FF00CCFF"/>
      <rgbColor rgb="FFF2F2F2"/>
      <rgbColor rgb="FFE2F0D9"/>
      <rgbColor rgb="FFFFE699"/>
      <rgbColor rgb="FF9DC3E6"/>
      <rgbColor rgb="FFC5E0B4"/>
      <rgbColor rgb="FFD9D9D9"/>
      <rgbColor rgb="FFFFD966"/>
      <rgbColor rgb="FF3366FF"/>
      <rgbColor rgb="FF33CCCC"/>
      <rgbColor rgb="FFA9D18E"/>
      <rgbColor rgb="FFFFCC00"/>
      <rgbColor rgb="FFFF9900"/>
      <rgbColor rgb="FFFF6600"/>
      <rgbColor rgb="FF666699"/>
      <rgbColor rgb="FF5B9BD5"/>
      <rgbColor rgb="FF002060"/>
      <rgbColor rgb="FF339966"/>
      <rgbColor rgb="FF222222"/>
      <rgbColor rgb="FF262626"/>
      <rgbColor rgb="FF843C0B"/>
      <rgbColor rgb="FF993366"/>
      <rgbColor rgb="FF1F4E7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image" Target="../media/image5.png"/>
</Relationships>
</file>

<file path=xl/drawings/_rels/drawing5.xml.rels><?xml version="1.0" encoding="UTF-8"?>
<Relationships xmlns="http://schemas.openxmlformats.org/package/2006/relationships"><Relationship Id="rId1" Type="http://schemas.openxmlformats.org/officeDocument/2006/relationships/image" Target="../media/image6.png"/>
</Relationships>
</file>

<file path=xl/drawings/_rels/drawing6.xml.rels><?xml version="1.0" encoding="UTF-8"?>
<Relationships xmlns="http://schemas.openxmlformats.org/package/2006/relationships"><Relationship Id="rId1" Type="http://schemas.openxmlformats.org/officeDocument/2006/relationships/image" Target="../media/image7.png"/>
</Relationships>
</file>

<file path=xl/drawings/_rels/drawing7.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594360</xdr:colOff>
      <xdr:row>1</xdr:row>
      <xdr:rowOff>15120</xdr:rowOff>
    </xdr:from>
    <xdr:to>
      <xdr:col>9</xdr:col>
      <xdr:colOff>600840</xdr:colOff>
      <xdr:row>92</xdr:row>
      <xdr:rowOff>59040</xdr:rowOff>
    </xdr:to>
    <xdr:sp>
      <xdr:nvSpPr>
        <xdr:cNvPr id="0" name="TextBox 1"/>
        <xdr:cNvSpPr/>
      </xdr:nvSpPr>
      <xdr:spPr>
        <a:xfrm>
          <a:off x="594360" y="198000"/>
          <a:ext cx="5452560" cy="166860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FP - Firepower</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TP - Torpedo</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EFF - Primary Gun Efficiency / A equipment's own efficiency</a:t>
          </a:r>
          <a:endParaRPr b="0" lang="en-GB" sz="1100" spc="-1" strike="noStrike">
            <a:latin typeface="Times New Roman"/>
          </a:endParaRPr>
        </a:p>
        <a:p>
          <a:pPr>
            <a:lnSpc>
              <a:spcPct val="100000"/>
            </a:lnSpc>
          </a:pPr>
          <a:r>
            <a:rPr b="0" lang="en-US" sz="1100" spc="-1" strike="noStrike">
              <a:solidFill>
                <a:srgbClr val="000000"/>
              </a:solidFill>
              <a:latin typeface="Calibri"/>
            </a:rPr>
            <a:t>* For CV, EFF is her efficiency regarding the particular plane slot. This calculator goes from left to right. So say for Enterprise, her loadout is Fighter/Divebomber/Torpedo Bomber. Then Slot 1 (most left after the auxes) = Fighter, etc.</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SECEFF - Torpedo/Secondary Efficiency</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EVA - Evasion</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Coef - Coefficient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Mod - Modifier: Always 100% (default) except for Crit%/Crit Add Modifier (which are autofilled) and Crit/Reload Modifier (calculated). </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DMG - Damage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RND - Round(s)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Burn % - Probability of ignition. Note that there are various Burn %, i.e. for primary, barrage. Secondary is not included due to low DPS.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Burn - Damage modifier for burn damage.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Abs CD - Absolute cooldown of a gun-type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VT - Volley Time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Reload Skill % - If a skill increases the RELOAD value, enter it here.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Reload Mod- Changes the RELOAD value.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Crit Mod - 1 + Critical Probability * Critical Base Damage. </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Crit Base Damage - 1.5. Must be manually changed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Crit Skill - If a skill increases a crit rate directly, i.e. additively. Change the 1.5 value if it is multiplicative.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MGM - Main Gun Mount. Default value is 1. If MGM+1, value is 2. MGM+2, value is 3. Etc. It is incredibly important that if the ship has a MGM, the gun equipment </a:t>
          </a:r>
          <a:r>
            <a:rPr b="0" i="1" lang="en-US" sz="1100" spc="-1" strike="noStrike">
              <a:solidFill>
                <a:srgbClr val="000000"/>
              </a:solidFill>
              <a:latin typeface="Calibri"/>
            </a:rPr>
            <a:t>must</a:t>
          </a:r>
          <a:r>
            <a:rPr b="0" lang="en-US" sz="1100" spc="-1" strike="noStrike">
              <a:solidFill>
                <a:srgbClr val="000000"/>
              </a:solidFill>
              <a:latin typeface="Calibri"/>
            </a:rPr>
            <a:t> go onto the primary slot otherwise it won't calculate properly.</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Barrage Rounds - How many times the shipgirl needs to fire her gun in order to trigger a barrage. If a shipgirl has MGM+1, divide value by 2.</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Barrage Damage - Is the total damage of a barrage, i.e. Barrage Rounds x Barrage Hit x Barrage Coefficient.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Stat Mod (Barrage Section) - Determines how much does a stat weigh in.</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Trigger % - The probability of a barrage triggering</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Trigger (s) - Period of when does the game roll the barrage skill</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Base Barrage - Barrage damage of one round times the barrage coefficient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Stat Mod - Some barrages modify a stat for a barrage. This is either FP or TP. 100% means the stat is unchanged.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eHP - Effective HP</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Own Accuracy, also symbolized by O - Determines how accurate you are. Modifies eDPS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Enemy Accuracy, also symbolized by E - Determines your eHP</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Gun Burn Damage/Burn DMG - Total fire damage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Corrected Accuracy - Limits the values from 10% to 90%</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Flood - Either 0 or 1. This tells the calculator to calculate flooding or not. 0 for no flooding. 1 for yes.</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Damage Reduction - 0% (default). How much incoming damage is reduced.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FIDIB - Contains planes that carry bombs. This includes fighers (FI) and dive bombers (DIB).</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TB - Torpedo Bomber</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AS - Air Superioty</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AB - Armor Break</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L/M/H base = Basically the base damage of the plane in question (for that slot). It includes the armor modifiers. Note the calculator sums up all of the damage of the plane, so it'll represent the total damage of a plane that has a 2x500lb, 2000lb loudout for an example.</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Barrage Table: If the barrage is Timer based, set Trigger (s) to the stated value. Otherwise set to 0s IF it is barrage-based. If it is a on-gun fire, set Barrage to 1 and Timer to 0s.</a:t>
          </a:r>
          <a:endParaRPr b="0" lang="en-GB" sz="1100" spc="-1" strike="noStrike">
            <a:latin typeface="Times New Roman"/>
          </a:endParaRPr>
        </a:p>
      </xdr:txBody>
    </xdr:sp>
    <xdr:clientData/>
  </xdr:twoCellAnchor>
  <xdr:twoCellAnchor editAs="twoCell">
    <xdr:from>
      <xdr:col>10</xdr:col>
      <xdr:colOff>144720</xdr:colOff>
      <xdr:row>1</xdr:row>
      <xdr:rowOff>0</xdr:rowOff>
    </xdr:from>
    <xdr:to>
      <xdr:col>21</xdr:col>
      <xdr:colOff>127800</xdr:colOff>
      <xdr:row>38</xdr:row>
      <xdr:rowOff>82080</xdr:rowOff>
    </xdr:to>
    <xdr:sp>
      <xdr:nvSpPr>
        <xdr:cNvPr id="1" name="TextBox 2"/>
        <xdr:cNvSpPr/>
      </xdr:nvSpPr>
      <xdr:spPr>
        <a:xfrm>
          <a:off x="6195960" y="182880"/>
          <a:ext cx="6639840" cy="68486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This DPS calculator determines the DPS of a ship. It is customizable and intended to be scalable with barrage types. Any skill that affects any stat must be changed manually. If FP, change the Total FP formula, etc. However, some skill types are covered (such as evasion skill, crit skill, etc.). </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This calculator provides a basic eHP calculator in addition to the ship's DPS. It features eDPS as well, which is affected by your shipgirl's stats and the enemy stats (which you set, default are set to Level 120). The standard values for the enemy are </a:t>
          </a:r>
          <a:r>
            <a:rPr b="1" lang="en-US" sz="1100" spc="-1" strike="noStrike">
              <a:solidFill>
                <a:srgbClr val="000000"/>
              </a:solidFill>
              <a:latin typeface="Calibri"/>
            </a:rPr>
            <a:t>0/0/0</a:t>
          </a:r>
          <a:r>
            <a:rPr b="0" lang="en-US" sz="1100" spc="-1" strike="noStrike">
              <a:solidFill>
                <a:srgbClr val="000000"/>
              </a:solidFill>
              <a:latin typeface="Calibri"/>
            </a:rPr>
            <a:t> and if you are performing a standard eHP calculation, </a:t>
          </a:r>
          <a:r>
            <a:rPr b="1" lang="en-US" sz="1100" spc="-1" strike="noStrike">
              <a:solidFill>
                <a:srgbClr val="000000"/>
              </a:solidFill>
              <a:latin typeface="Calibri"/>
            </a:rPr>
            <a:t>Enemy Hit = 45 - 100</a:t>
          </a:r>
          <a:r>
            <a:rPr b="0" lang="en-US" sz="1100" spc="-1" strike="noStrike">
              <a:solidFill>
                <a:srgbClr val="000000"/>
              </a:solidFill>
              <a:latin typeface="Calibri"/>
            </a:rPr>
            <a: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Note that if a barrage is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Note if a barrage does not have any burn characteristic, set Burn % to 0. Similarly for Primary. Secondary is not factored in. </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If wanting to calculate multiply girls, create a new sheet and store the values of the each shipgirl. Or create a new sheet by copying the Base Formula.</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To find the modifier of say a skill that says: 70% chance of increasing FP by 30% for 20s every 30s, follow this formula: </a:t>
          </a:r>
          <a:endParaRPr b="0" lang="en-GB" sz="1100" spc="-1" strike="noStrike">
            <a:latin typeface="Times New Roman"/>
          </a:endParaRPr>
        </a:p>
        <a:p>
          <a:pPr>
            <a:lnSpc>
              <a:spcPct val="100000"/>
            </a:lnSpc>
          </a:pPr>
          <a:r>
            <a:rPr b="0" lang="en-US" sz="1100" spc="-1" strike="noStrike">
              <a:solidFill>
                <a:srgbClr val="000000"/>
              </a:solidFill>
              <a:latin typeface="Cambria Math"/>
            </a:rPr>
            <a:t>Modifier=(𝑃𝑟𝑜𝑏𝑎𝑏𝑖𝑙𝑖𝑡𝑦 𝑜𝑓 𝑃𝑟𝑜𝑐𝑖𝑛𝑔 ∗𝑆𝑡𝑎𝑡 𝐼𝑛𝑐𝑟𝑒𝑎𝑠𝑒∗𝐷𝑢𝑟𝑎𝑡𝑖𝑜𝑛)/𝐶𝑜𝑜𝑙𝐷𝑜𝑤𝑛</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Note Modifier should be a decimal number (not a percentage). So convert if necessary.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Due to the nature of Reload modifier, the approximation method may produce a more inaccurate value. Caution here. The formuula is as follows:</a:t>
          </a:r>
          <a:endParaRPr b="0" lang="en-GB" sz="1100" spc="-1" strike="noStrike">
            <a:latin typeface="Times New Roman"/>
          </a:endParaRPr>
        </a:p>
        <a:p>
          <a:pPr>
            <a:lnSpc>
              <a:spcPct val="100000"/>
            </a:lnSpc>
          </a:pPr>
          <a:r>
            <a:rPr b="0" lang="en-US" sz="1100" spc="-1" strike="noStrike">
              <a:solidFill>
                <a:srgbClr val="000000"/>
              </a:solidFill>
              <a:latin typeface="Cambria Math"/>
            </a:rPr>
            <a:t>Modifier=((𝑃𝑟𝑜𝑏𝑎𝑏𝑖𝑙𝑖𝑡𝑦 𝑜𝑓 𝑃𝑟𝑜𝑐𝑖𝑛𝑔 ∗𝑅𝑒𝑙𝑜𝑎𝑑 𝐼𝑛𝑐𝑟𝑒𝑎𝑠𝑒∗𝐷𝑢𝑟𝑎𝑡𝑖𝑜𝑛)/𝐶𝑜𝑜𝑙𝑑𝑜𝑤𝑛)^2</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In general, the approximation methods will produce a ± 6% error margin at worst, but will generally be ± 3%.</a:t>
          </a:r>
          <a:endParaRPr b="0" lang="en-GB" sz="1100" spc="-1" strike="noStrike">
            <a:latin typeface="Times New Roman"/>
          </a:endParaRPr>
        </a:p>
      </xdr:txBody>
    </xdr:sp>
    <xdr:clientData/>
  </xdr:twoCellAnchor>
  <xdr:twoCellAnchor editAs="twoCell">
    <xdr:from>
      <xdr:col>10</xdr:col>
      <xdr:colOff>152280</xdr:colOff>
      <xdr:row>39</xdr:row>
      <xdr:rowOff>30600</xdr:rowOff>
    </xdr:from>
    <xdr:to>
      <xdr:col>21</xdr:col>
      <xdr:colOff>119880</xdr:colOff>
      <xdr:row>61</xdr:row>
      <xdr:rowOff>59400</xdr:rowOff>
    </xdr:to>
    <xdr:sp>
      <xdr:nvSpPr>
        <xdr:cNvPr id="2" name="TextBox 3"/>
        <xdr:cNvSpPr/>
      </xdr:nvSpPr>
      <xdr:spPr>
        <a:xfrm>
          <a:off x="6203520" y="7162920"/>
          <a:ext cx="6624360" cy="40521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The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When entering a ship's name on the top left, </a:t>
          </a:r>
          <a:r>
            <a:rPr b="1" lang="en-US" sz="1100" spc="-1" strike="noStrike">
              <a:solidFill>
                <a:srgbClr val="000000"/>
              </a:solidFill>
              <a:latin typeface="Calibri"/>
            </a:rPr>
            <a:t>make sure you type the full name and if you want the Kai stats, append Kai at the end</a:t>
          </a:r>
          <a:r>
            <a:rPr b="0" lang="en-US" sz="1100" spc="-1" strike="noStrike">
              <a:solidFill>
                <a:srgbClr val="000000"/>
              </a:solidFill>
              <a:latin typeface="Calibri"/>
            </a:rPr>
            <a:t>. In addition, LUCK and HIT are not implemented as autofill. Fill in those manually. Finally, the black-background cells with bolded white text means you need to fill in those you.</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US" sz="1100" spc="-1" strike="noStrike">
              <a:solidFill>
                <a:srgbClr val="000000"/>
              </a:solidFill>
              <a:latin typeface="Calibri"/>
            </a:rPr>
            <a:t>When making a copy, just say yes to every prompt.</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tabLst>
              <a:tab algn="l" pos="0"/>
            </a:tabLst>
          </a:pPr>
          <a:r>
            <a:rPr b="1" lang="en-US" sz="1100" spc="-1" strike="noStrike">
              <a:solidFill>
                <a:srgbClr val="000000"/>
              </a:solidFill>
              <a:latin typeface="Calibri"/>
            </a:rPr>
            <a:t>Do not touch C3 and C4.</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 The equipment sheet is hidden. In order to unhide, Home &gt; Format &gt; Visibility &gt; Hide &amp; Unhide &gt; Unhide Sheet.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Note: Z-Flag is unsupported atm.</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Note 2: Aux tables seem to be bugged with naming. Name Manager has a self-created name list. So update there as otherwise it won't show up in the drop down.</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0" lang="en-US" sz="1100" spc="-1" strike="noStrike">
              <a:solidFill>
                <a:srgbClr val="000000"/>
              </a:solidFill>
              <a:latin typeface="Calibri"/>
            </a:rPr>
            <a:t>Note 3: Yamashiro and Fusou (non-kai) have partial modernization stats.</a:t>
          </a:r>
          <a:endParaRPr b="0" lang="en-GB" sz="1100" spc="-1" strike="noStrike">
            <a:latin typeface="Times New Roman"/>
          </a:endParaRPr>
        </a:p>
      </xdr:txBody>
    </xdr:sp>
    <xdr:clientData/>
  </xdr:twoCellAnchor>
  <xdr:twoCellAnchor editAs="twoCell">
    <xdr:from>
      <xdr:col>10</xdr:col>
      <xdr:colOff>152280</xdr:colOff>
      <xdr:row>61</xdr:row>
      <xdr:rowOff>137160</xdr:rowOff>
    </xdr:from>
    <xdr:to>
      <xdr:col>21</xdr:col>
      <xdr:colOff>119880</xdr:colOff>
      <xdr:row>65</xdr:row>
      <xdr:rowOff>28800</xdr:rowOff>
    </xdr:to>
    <xdr:sp>
      <xdr:nvSpPr>
        <xdr:cNvPr id="3" name="TextBox 4"/>
        <xdr:cNvSpPr/>
      </xdr:nvSpPr>
      <xdr:spPr>
        <a:xfrm>
          <a:off x="6203520" y="11292840"/>
          <a:ext cx="6624360" cy="6231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Created by Enbayft#2527 (Discord) for Azur Lane.</a:t>
          </a:r>
          <a:endParaRPr b="0" lang="en-GB" sz="1100" spc="-1" strike="noStrike">
            <a:latin typeface="Times New Roman"/>
          </a:endParaRPr>
        </a:p>
        <a:p>
          <a:pPr>
            <a:lnSpc>
              <a:spcPct val="100000"/>
            </a:lnSpc>
          </a:pPr>
          <a:r>
            <a:rPr b="0" lang="en-US" sz="1100" spc="-1" strike="noStrike">
              <a:solidFill>
                <a:srgbClr val="000000"/>
              </a:solidFill>
              <a:latin typeface="Calibri"/>
            </a:rPr>
            <a:t>Credits: Vantablack#1217 for providing the base framework and data for the sub sheet</a:t>
          </a:r>
          <a:endParaRPr b="0" lang="en-GB" sz="1100" spc="-1" strike="noStrike">
            <a:latin typeface="Times New Roman"/>
          </a:endParaRPr>
        </a:p>
        <a:p>
          <a:pPr>
            <a:lnSpc>
              <a:spcPct val="100000"/>
            </a:lnSpc>
          </a:pPr>
          <a:r>
            <a:rPr b="0" lang="en-US" sz="1100" spc="-1" strike="noStrike">
              <a:solidFill>
                <a:srgbClr val="000000"/>
              </a:solidFill>
              <a:latin typeface="Calibri"/>
            </a:rPr>
            <a:t>Version: 0.99.1 (BETA)</a:t>
          </a:r>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114480</xdr:colOff>
      <xdr:row>17</xdr:row>
      <xdr:rowOff>148680</xdr:rowOff>
    </xdr:from>
    <xdr:to>
      <xdr:col>13</xdr:col>
      <xdr:colOff>459360</xdr:colOff>
      <xdr:row>19</xdr:row>
      <xdr:rowOff>127800</xdr:rowOff>
    </xdr:to>
    <xdr:sp>
      <xdr:nvSpPr>
        <xdr:cNvPr id="4" name="TextBox 2"/>
        <xdr:cNvSpPr/>
      </xdr:nvSpPr>
      <xdr:spPr>
        <a:xfrm>
          <a:off x="4664880" y="3364200"/>
          <a:ext cx="3975480" cy="344880"/>
        </a:xfrm>
        <a:prstGeom prst="rect">
          <a:avLst/>
        </a:prstGeom>
        <a:noFill/>
        <a:ln w="0">
          <a:noFill/>
        </a:ln>
      </xdr:spPr>
      <xdr:style>
        <a:lnRef idx="0"/>
        <a:fillRef idx="0"/>
        <a:effectRef idx="0"/>
        <a:fontRef idx="minor"/>
      </xdr:style>
      <xdr:txBody>
        <a:bodyPr wrap="none" horzOverflow="clip" vertOverflow="clip" lIns="0" rIns="0" tIns="0" bIns="0">
          <a:noAutofit/>
        </a:bodyPr>
        <a:p>
          <a:pPr>
            <a:lnSpc>
              <a:spcPct val="100000"/>
            </a:lnSpc>
          </a:pPr>
          <a:r>
            <a:rPr b="0" lang="en-US" sz="1100" spc="-1" strike="noStrike">
              <a:solidFill>
                <a:srgbClr val="fff2cc"/>
              </a:solidFill>
              <a:latin typeface="Cambria Math"/>
            </a:rPr>
            <a:t>Modifier=(𝑃𝑟𝑜𝑏𝑎𝑏𝑖𝑙𝑖𝑡𝑦 𝑜𝑓 𝑃𝑟𝑜𝑐𝑖𝑛𝑔 ∗𝑆𝑡𝑎𝑡 𝐼𝑛𝑐𝑟𝑒𝑎𝑠𝑒∗𝐷𝑢𝑟𝑎𝑡𝑖𝑜𝑛)/𝐶𝑜𝑜𝑙𝐷𝑜𝑤𝑛</a:t>
          </a:r>
          <a:endParaRPr b="0" lang="en-GB" sz="1100" spc="-1" strike="noStrike">
            <a:latin typeface="Times New Roman"/>
          </a:endParaRPr>
        </a:p>
      </xdr:txBody>
    </xdr:sp>
    <xdr:clientData/>
  </xdr:twoCellAnchor>
  <xdr:twoCellAnchor editAs="twoCell">
    <xdr:from>
      <xdr:col>5</xdr:col>
      <xdr:colOff>190440</xdr:colOff>
      <xdr:row>21</xdr:row>
      <xdr:rowOff>87480</xdr:rowOff>
    </xdr:from>
    <xdr:to>
      <xdr:col>12</xdr:col>
      <xdr:colOff>504360</xdr:colOff>
      <xdr:row>24</xdr:row>
      <xdr:rowOff>20880</xdr:rowOff>
    </xdr:to>
    <xdr:sp>
      <xdr:nvSpPr>
        <xdr:cNvPr id="5" name="TextBox 5"/>
        <xdr:cNvSpPr/>
      </xdr:nvSpPr>
      <xdr:spPr>
        <a:xfrm>
          <a:off x="3530520" y="4034520"/>
          <a:ext cx="4549680" cy="497160"/>
        </a:xfrm>
        <a:prstGeom prst="rect">
          <a:avLst/>
        </a:prstGeom>
        <a:noFill/>
        <a:ln w="0">
          <a:noFill/>
        </a:ln>
      </xdr:spPr>
      <xdr:style>
        <a:lnRef idx="0"/>
        <a:fillRef idx="0"/>
        <a:effectRef idx="0"/>
        <a:fontRef idx="minor"/>
      </xdr:style>
      <xdr:txBody>
        <a:bodyPr wrap="none" horzOverflow="clip" vertOverflow="clip" lIns="0" rIns="0" tIns="0" bIns="0">
          <a:noAutofit/>
        </a:bodyPr>
        <a:p>
          <a:pPr>
            <a:lnSpc>
              <a:spcPct val="100000"/>
            </a:lnSpc>
          </a:pPr>
          <a:r>
            <a:rPr b="0" lang="en-US" sz="1100" spc="-1" strike="noStrike">
              <a:solidFill>
                <a:srgbClr val="fff2cc"/>
              </a:solidFill>
              <a:latin typeface="Cambria Math"/>
            </a:rPr>
            <a:t>Modifier=𝑅𝑒𝑙𝑜𝑎𝑑 𝐼𝑛𝑐𝑟𝑒𝑎𝑠𝑒 ∗𝑃𝑟𝑜𝑏𝑎𝑏𝑖𝑙𝑖𝑡𝑦 𝑜𝑓 𝑃𝑟𝑜𝑐𝑖𝑛𝑔 ∗(𝐷𝑢𝑟𝑎𝑡𝑖𝑜𝑛/𝐶𝑜𝑜𝑙𝑑𝑜𝑤𝑛)^1.4</a:t>
          </a:r>
          <a:endParaRPr b="0" lang="en-GB" sz="1100" spc="-1" strike="noStrike">
            <a:latin typeface="Times New Roman"/>
          </a:endParaRPr>
        </a:p>
      </xdr:txBody>
    </xdr:sp>
    <xdr:clientData/>
  </xdr:twoCellAnchor>
  <xdr:twoCellAnchor editAs="twoCell">
    <xdr:from>
      <xdr:col>5</xdr:col>
      <xdr:colOff>533520</xdr:colOff>
      <xdr:row>25</xdr:row>
      <xdr:rowOff>64800</xdr:rowOff>
    </xdr:from>
    <xdr:to>
      <xdr:col>17</xdr:col>
      <xdr:colOff>493560</xdr:colOff>
      <xdr:row>27</xdr:row>
      <xdr:rowOff>180720</xdr:rowOff>
    </xdr:to>
    <xdr:sp>
      <xdr:nvSpPr>
        <xdr:cNvPr id="6" name="TextBox 3"/>
        <xdr:cNvSpPr/>
      </xdr:nvSpPr>
      <xdr:spPr>
        <a:xfrm>
          <a:off x="3873600" y="4766040"/>
          <a:ext cx="7221600" cy="497160"/>
        </a:xfrm>
        <a:prstGeom prst="rect">
          <a:avLst/>
        </a:prstGeom>
        <a:noFill/>
        <a:ln w="0">
          <a:noFill/>
        </a:ln>
      </xdr:spPr>
      <xdr:style>
        <a:lnRef idx="0"/>
        <a:fillRef idx="0"/>
        <a:effectRef idx="0"/>
        <a:fontRef idx="minor"/>
      </xdr:style>
      <xdr:txBody>
        <a:bodyPr wrap="none" horzOverflow="clip" vertOverflow="clip" lIns="0" rIns="0" tIns="0" bIns="0">
          <a:noAutofit/>
        </a:bodyPr>
        <a:p>
          <a:pPr>
            <a:lnSpc>
              <a:spcPct val="100000"/>
            </a:lnSpc>
          </a:pPr>
          <a:r>
            <a:rPr b="0" lang="en-US" sz="1100" spc="-1" strike="noStrike">
              <a:solidFill>
                <a:srgbClr val="fff2cc"/>
              </a:solidFill>
              <a:latin typeface="Cambria Math"/>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b="0" lang="en-GB"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2</xdr:row>
      <xdr:rowOff>360</xdr:rowOff>
    </xdr:from>
    <xdr:to>
      <xdr:col>1</xdr:col>
      <xdr:colOff>375840</xdr:colOff>
      <xdr:row>3</xdr:row>
      <xdr:rowOff>68760</xdr:rowOff>
    </xdr:to>
    <xdr:pic>
      <xdr:nvPicPr>
        <xdr:cNvPr id="7" name="Picture 1" descr="https://azurlane.koumakan.jp/w/images/8/85/DD_img40.png"/>
        <xdr:cNvPicPr/>
      </xdr:nvPicPr>
      <xdr:blipFill>
        <a:blip r:embed="rId1"/>
        <a:stretch/>
      </xdr:blipFill>
      <xdr:spPr>
        <a:xfrm>
          <a:off x="605520" y="358200"/>
          <a:ext cx="375120" cy="243720"/>
        </a:xfrm>
        <a:prstGeom prst="rect">
          <a:avLst/>
        </a:prstGeom>
        <a:ln w="0">
          <a:noFill/>
        </a:ln>
      </xdr:spPr>
    </xdr:pic>
    <xdr:clientData/>
  </xdr:twoCellAnchor>
  <xdr:twoCellAnchor editAs="oneCell">
    <xdr:from>
      <xdr:col>1</xdr:col>
      <xdr:colOff>720</xdr:colOff>
      <xdr:row>3</xdr:row>
      <xdr:rowOff>60120</xdr:rowOff>
    </xdr:from>
    <xdr:to>
      <xdr:col>1</xdr:col>
      <xdr:colOff>375840</xdr:colOff>
      <xdr:row>4</xdr:row>
      <xdr:rowOff>120600</xdr:rowOff>
    </xdr:to>
    <xdr:pic>
      <xdr:nvPicPr>
        <xdr:cNvPr id="8" name="Picture 2" descr="https://azurlane.koumakan.jp/w/images/a/ae/CL_img40.png"/>
        <xdr:cNvPicPr/>
      </xdr:nvPicPr>
      <xdr:blipFill>
        <a:blip r:embed="rId2"/>
        <a:stretch/>
      </xdr:blipFill>
      <xdr:spPr>
        <a:xfrm>
          <a:off x="605520" y="593280"/>
          <a:ext cx="375120" cy="235800"/>
        </a:xfrm>
        <a:prstGeom prst="rect">
          <a:avLst/>
        </a:prstGeom>
        <a:ln w="0">
          <a:noFill/>
        </a:ln>
      </xdr:spPr>
    </xdr:pic>
    <xdr:clientData/>
  </xdr:twoCellAnchor>
  <xdr:twoCellAnchor editAs="oneCell">
    <xdr:from>
      <xdr:col>1</xdr:col>
      <xdr:colOff>720</xdr:colOff>
      <xdr:row>4</xdr:row>
      <xdr:rowOff>128880</xdr:rowOff>
    </xdr:from>
    <xdr:to>
      <xdr:col>1</xdr:col>
      <xdr:colOff>375840</xdr:colOff>
      <xdr:row>5</xdr:row>
      <xdr:rowOff>181800</xdr:rowOff>
    </xdr:to>
    <xdr:pic>
      <xdr:nvPicPr>
        <xdr:cNvPr id="9" name="Picture 3" descr="https://azurlane.koumakan.jp/w/images/4/40/CA_img40.png"/>
        <xdr:cNvPicPr/>
      </xdr:nvPicPr>
      <xdr:blipFill>
        <a:blip r:embed="rId3"/>
        <a:stretch/>
      </xdr:blipFill>
      <xdr:spPr>
        <a:xfrm>
          <a:off x="605520" y="837360"/>
          <a:ext cx="375120" cy="235800"/>
        </a:xfrm>
        <a:prstGeom prst="rect">
          <a:avLst/>
        </a:prstGeom>
        <a:ln w="0">
          <a:noFill/>
        </a:ln>
      </xdr:spPr>
    </xdr:pic>
    <xdr:clientData/>
  </xdr:twoCellAnchor>
  <xdr:twoCellAnchor editAs="oneCell">
    <xdr:from>
      <xdr:col>1</xdr:col>
      <xdr:colOff>10800</xdr:colOff>
      <xdr:row>6</xdr:row>
      <xdr:rowOff>14400</xdr:rowOff>
    </xdr:from>
    <xdr:to>
      <xdr:col>1</xdr:col>
      <xdr:colOff>398520</xdr:colOff>
      <xdr:row>7</xdr:row>
      <xdr:rowOff>71280</xdr:rowOff>
    </xdr:to>
    <xdr:pic>
      <xdr:nvPicPr>
        <xdr:cNvPr id="10" name="Picture 4" descr="https://azurlane.koumakan.jp/w/images/e/ee/BC_img40.png"/>
        <xdr:cNvPicPr/>
      </xdr:nvPicPr>
      <xdr:blipFill>
        <a:blip r:embed="rId4"/>
        <a:stretch/>
      </xdr:blipFill>
      <xdr:spPr>
        <a:xfrm>
          <a:off x="615600" y="1088640"/>
          <a:ext cx="387720" cy="2397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221040</xdr:colOff>
      <xdr:row>1</xdr:row>
      <xdr:rowOff>177120</xdr:rowOff>
    </xdr:from>
    <xdr:to>
      <xdr:col>0</xdr:col>
      <xdr:colOff>609480</xdr:colOff>
      <xdr:row>3</xdr:row>
      <xdr:rowOff>43920</xdr:rowOff>
    </xdr:to>
    <xdr:pic>
      <xdr:nvPicPr>
        <xdr:cNvPr id="11" name="Picture 3" descr="https://azurlane.koumakan.jp/w/images/f/f9/CVL_img40.png"/>
        <xdr:cNvPicPr/>
      </xdr:nvPicPr>
      <xdr:blipFill>
        <a:blip r:embed="rId1"/>
        <a:stretch/>
      </xdr:blipFill>
      <xdr:spPr>
        <a:xfrm>
          <a:off x="221040" y="360000"/>
          <a:ext cx="388440" cy="2325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215640</xdr:colOff>
      <xdr:row>2</xdr:row>
      <xdr:rowOff>7560</xdr:rowOff>
    </xdr:from>
    <xdr:to>
      <xdr:col>0</xdr:col>
      <xdr:colOff>609480</xdr:colOff>
      <xdr:row>3</xdr:row>
      <xdr:rowOff>60480</xdr:rowOff>
    </xdr:to>
    <xdr:pic>
      <xdr:nvPicPr>
        <xdr:cNvPr id="12" name="Picture 1" descr="https://azurlane.koumakan.jp/w/images/6/6a/BBV_img40.png"/>
        <xdr:cNvPicPr/>
      </xdr:nvPicPr>
      <xdr:blipFill>
        <a:blip r:embed="rId1"/>
        <a:stretch/>
      </xdr:blipFill>
      <xdr:spPr>
        <a:xfrm>
          <a:off x="215640" y="373320"/>
          <a:ext cx="393840" cy="23580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236160</xdr:colOff>
      <xdr:row>1</xdr:row>
      <xdr:rowOff>175320</xdr:rowOff>
    </xdr:from>
    <xdr:to>
      <xdr:col>0</xdr:col>
      <xdr:colOff>600480</xdr:colOff>
      <xdr:row>3</xdr:row>
      <xdr:rowOff>37440</xdr:rowOff>
    </xdr:to>
    <xdr:pic>
      <xdr:nvPicPr>
        <xdr:cNvPr id="13" name="Picture 1" descr="https://azurlane.koumakan.jp/w/images/7/7f/SS_img40.png"/>
        <xdr:cNvPicPr/>
      </xdr:nvPicPr>
      <xdr:blipFill>
        <a:blip r:embed="rId1"/>
        <a:stretch/>
      </xdr:blipFill>
      <xdr:spPr>
        <a:xfrm>
          <a:off x="236160" y="358200"/>
          <a:ext cx="364320" cy="2278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237960</xdr:colOff>
      <xdr:row>2</xdr:row>
      <xdr:rowOff>0</xdr:rowOff>
    </xdr:from>
    <xdr:to>
      <xdr:col>0</xdr:col>
      <xdr:colOff>600480</xdr:colOff>
      <xdr:row>3</xdr:row>
      <xdr:rowOff>43920</xdr:rowOff>
    </xdr:to>
    <xdr:pic>
      <xdr:nvPicPr>
        <xdr:cNvPr id="14" name="Picture 2" descr="https://azurlane.koumakan.jp/w/images/e/e2/SSV_img40.png"/>
        <xdr:cNvPicPr/>
      </xdr:nvPicPr>
      <xdr:blipFill>
        <a:blip r:embed="rId1"/>
        <a:stretch/>
      </xdr:blipFill>
      <xdr:spPr>
        <a:xfrm>
          <a:off x="237960" y="365760"/>
          <a:ext cx="362520" cy="226800"/>
        </a:xfrm>
        <a:prstGeom prst="rect">
          <a:avLst/>
        </a:prstGeom>
        <a:ln w="0">
          <a:noFill/>
        </a:ln>
      </xdr:spPr>
    </xdr:pic>
    <xdr:clientData/>
  </xdr:twoCellAnchor>
</xdr:wsDr>
</file>

<file path=xl/tables/table1.xml><?xml version="1.0" encoding="utf-8"?>
<table xmlns="http://schemas.openxmlformats.org/spreadsheetml/2006/main" id="1" name="AATable" displayName="AATable" ref="A312:H345" headerRowCount="1" totalsRowCount="0" totalsRowShown="0">
  <autoFilter ref="A312:H345"/>
  <tableColumns count="8">
    <tableColumn id="1" name="Name"/>
    <tableColumn id="2" name="AA"/>
    <tableColumn id="3" name="DAMAGE"/>
    <tableColumn id="4" name="RoF"/>
    <tableColumn id="5" name="Rng"/>
    <tableColumn id="6" name="Nation"/>
    <tableColumn id="7" name="Hit"/>
    <tableColumn id="8" name="FP"/>
  </tableColumns>
</table>
</file>

<file path=xl/tables/table10.xml><?xml version="1.0" encoding="utf-8"?>
<table xmlns="http://schemas.openxmlformats.org/spreadsheetml/2006/main" id="10" name="BombCoeff" displayName="BombCoeff" ref="A296:F305" headerRowCount="1" totalsRowCount="0" totalsRowShown="0">
  <autoFilter ref="A296:F305"/>
  <tableColumns count="6">
    <tableColumn id="1" name="Bomb Weight"/>
    <tableColumn id="2" name="DMG"/>
    <tableColumn id="3" name="Light"/>
    <tableColumn id="4" name="Medium"/>
    <tableColumn id="5" name="Heavy"/>
    <tableColumn id="6" name="Splash"/>
  </tableColumns>
</table>
</file>

<file path=xl/tables/table11.xml><?xml version="1.0" encoding="utf-8"?>
<table xmlns="http://schemas.openxmlformats.org/spreadsheetml/2006/main" id="11" name="BombDamage" displayName="BombDamage" ref="A347:D385" headerRowCount="1" totalsRowCount="0" totalsRowShown="0">
  <autoFilter ref="A347:D385"/>
  <tableColumns count="4">
    <tableColumn id="1" name="Name"/>
    <tableColumn id="2" name="Light"/>
    <tableColumn id="3" name="Medium"/>
    <tableColumn id="4" name="Heavy"/>
  </tableColumns>
</table>
</file>

<file path=xl/tables/table12.xml><?xml version="1.0" encoding="utf-8"?>
<table xmlns="http://schemas.openxmlformats.org/spreadsheetml/2006/main" id="12" name="BombDamageEmpirical" displayName="BombDamageEmpirical" ref="A387:D417" headerRowCount="1" totalsRowCount="0" totalsRowShown="0">
  <autoFilter ref="A387:D417"/>
  <tableColumns count="4">
    <tableColumn id="1" name="Name"/>
    <tableColumn id="2" name="Light"/>
    <tableColumn id="3" name="Medium"/>
    <tableColumn id="4" name="Heavy"/>
  </tableColumns>
</table>
</file>

<file path=xl/tables/table13.xml><?xml version="1.0" encoding="utf-8"?>
<table xmlns="http://schemas.openxmlformats.org/spreadsheetml/2006/main" id="13" name="BurnT" displayName="BurnT" ref="A156:C163" headerRowCount="1" totalsRowCount="0" totalsRowShown="0">
  <autoFilter ref="A156:C163"/>
  <tableColumns count="3">
    <tableColumn id="1" name="Type"/>
    <tableColumn id="2" name="Burn"/>
    <tableColumn id="3" name="CD"/>
  </tableColumns>
</table>
</file>

<file path=xl/tables/table14.xml><?xml version="1.0" encoding="utf-8"?>
<table xmlns="http://schemas.openxmlformats.org/spreadsheetml/2006/main" id="14" name="BurnT2" displayName="BurnT2" ref="A165:D174" headerRowCount="1" totalsRowCount="0" totalsRowShown="0">
  <autoFilter ref="A165:D174"/>
  <tableColumns count="4">
    <tableColumn id="1" name="Type"/>
    <tableColumn id="2" name="Ammo"/>
    <tableColumn id="3" name="Proc"/>
    <tableColumn id="4" name="Coef"/>
  </tableColumns>
</table>
</file>

<file path=xl/tables/table15.xml><?xml version="1.0" encoding="utf-8"?>
<table xmlns="http://schemas.openxmlformats.org/spreadsheetml/2006/main" id="15" name="CACoef" displayName="CACoef" ref="A121:E130" headerRowCount="1" totalsRowCount="0" totalsRowShown="0">
  <autoFilter ref="A121:E130"/>
  <tableColumns count="5">
    <tableColumn id="1" name="Ammo"/>
    <tableColumn id="2" name="Light"/>
    <tableColumn id="3" name="Medium"/>
    <tableColumn id="4" name="Heavy"/>
    <tableColumn id="5" name="SPD"/>
  </tableColumns>
</table>
</file>

<file path=xl/tables/table16.xml><?xml version="1.0" encoding="utf-8"?>
<table xmlns="http://schemas.openxmlformats.org/spreadsheetml/2006/main" id="16" name="CarrierTable" displayName="CarrierTable" ref="A444:AQ484" headerRowCount="1" totalsRowCount="0" totalsRowShown="0">
  <autoFilter ref="A444:AQ484"/>
  <tableColumns count="43">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TRIEFF"/>
    <tableColumn id="22" name="Plane1"/>
    <tableColumn id="23" name="Plane2"/>
    <tableColumn id="24" name="Plane3"/>
    <tableColumn id="25" name="Type1"/>
    <tableColumn id="26" name="Type2"/>
    <tableColumn id="27" name="Type3"/>
    <tableColumn id="28" name="Barg1"/>
    <tableColumn id="29" name="Barg2"/>
    <tableColumn id="30" name="Barg3"/>
    <tableColumn id="31" name="Barg4"/>
    <tableColumn id="32" name="Barg5"/>
    <tableColumn id="33" name="Barg6"/>
    <tableColumn id="34" name="Barg7"/>
    <tableColumn id="35" name="Barg8"/>
    <tableColumn id="36" name="Skill1"/>
    <tableColumn id="37" name="Skill2"/>
    <tableColumn id="38" name="Skill3"/>
    <tableColumn id="39" name="Skill4"/>
    <tableColumn id="40" name="SkillName1"/>
    <tableColumn id="41" name="SkillName2"/>
    <tableColumn id="42" name="SkillName3"/>
    <tableColumn id="43" name="SkillName4"/>
  </tableColumns>
</table>
</file>

<file path=xl/tables/table17.xml><?xml version="1.0" encoding="utf-8"?>
<table xmlns="http://schemas.openxmlformats.org/spreadsheetml/2006/main" id="17" name="CATable" displayName="CATable" ref="A44:N61" headerRowCount="1" totalsRowCount="0" totalsRowShown="0">
  <autoFilter ref="A44:N61"/>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tables/table18.xml><?xml version="1.0" encoding="utf-8"?>
<table xmlns="http://schemas.openxmlformats.org/spreadsheetml/2006/main" id="18" name="CLCoef" displayName="CLCoef" ref="A112:E119" headerRowCount="1" totalsRowCount="0" totalsRowShown="0">
  <autoFilter ref="A112:E119"/>
  <tableColumns count="5">
    <tableColumn id="1" name="Ammo"/>
    <tableColumn id="2" name="Light"/>
    <tableColumn id="3" name="Medium"/>
    <tableColumn id="4" name="Heavy"/>
    <tableColumn id="5" name="SPD"/>
  </tableColumns>
</table>
</file>

<file path=xl/tables/table19.xml><?xml version="1.0" encoding="utf-8"?>
<table xmlns="http://schemas.openxmlformats.org/spreadsheetml/2006/main" id="19" name="CLTable" displayName="CLTable" ref="A25:N42" headerRowCount="1" totalsRowCount="0" totalsRowShown="0">
  <autoFilter ref="A25:N42"/>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tables/table2.xml><?xml version="1.0" encoding="utf-8"?>
<table xmlns="http://schemas.openxmlformats.org/spreadsheetml/2006/main" id="2" name="AmmoBase" displayName="AmmoBase" ref="R1:S9" headerRowCount="1" totalsRowCount="0" totalsRowShown="0">
  <autoFilter ref="R1:S9"/>
  <tableColumns count="2">
    <tableColumn id="1" name="Base"/>
    <tableColumn id="2" name="Type"/>
  </tableColumns>
</table>
</file>

<file path=xl/tables/table20.xml><?xml version="1.0" encoding="utf-8"?>
<table xmlns="http://schemas.openxmlformats.org/spreadsheetml/2006/main" id="20" name="CNGhostAux" displayName="CNGhostAux" ref="A455:K456" headerRowCount="1" totalsRowCount="0" totalsRowShown="0">
  <autoFilter ref="A455:K456"/>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21.xml><?xml version="1.0" encoding="utf-8"?>
<table xmlns="http://schemas.openxmlformats.org/spreadsheetml/2006/main" id="21" name="DDCoef" displayName="DDCoef" ref="A104:E110" headerRowCount="1" totalsRowCount="0" totalsRowShown="0">
  <autoFilter ref="A104:E110"/>
  <tableColumns count="5">
    <tableColumn id="1" name="Ammo"/>
    <tableColumn id="2" name="Light"/>
    <tableColumn id="3" name="Medium"/>
    <tableColumn id="4" name="Heavy"/>
    <tableColumn id="5" name="SPD"/>
  </tableColumns>
</table>
</file>

<file path=xl/tables/table22.xml><?xml version="1.0" encoding="utf-8"?>
<table xmlns="http://schemas.openxmlformats.org/spreadsheetml/2006/main" id="22" name="DDTable" displayName="DDTable" ref="A1:N23" headerRowCount="1" totalsRowCount="0" totalsRowShown="0">
  <autoFilter ref="A1:N23"/>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tables/table23.xml><?xml version="1.0" encoding="utf-8"?>
<table xmlns="http://schemas.openxmlformats.org/spreadsheetml/2006/main" id="23" name="DefenseTable" displayName="DefenseTable" ref="A207:O235" headerRowCount="1" totalsRowCount="0" totalsRowShown="0">
  <autoFilter ref="A207:O235"/>
  <tableColumns count="15">
    <tableColumn id="1" name="Name"/>
    <tableColumn id="2" name="HP"/>
    <tableColumn id="3" name="FP"/>
    <tableColumn id="4" name="AA"/>
    <tableColumn id="5" name="TP"/>
    <tableColumn id="6" name="AirP"/>
    <tableColumn id="7" name="RELOAD"/>
    <tableColumn id="8" name="EVA"/>
    <tableColumn id="9" name="HIT"/>
    <tableColumn id="10" name="SPD"/>
    <tableColumn id="11" name="OXY"/>
    <tableColumn id="12" name="LUCK"/>
    <tableColumn id="13" name="Heal%/s"/>
    <tableColumn id="14" name="Note(s)"/>
    <tableColumn id="15" name="ASW"/>
  </tableColumns>
</table>
</file>

<file path=xl/tables/table24.xml><?xml version="1.0" encoding="utf-8"?>
<table xmlns="http://schemas.openxmlformats.org/spreadsheetml/2006/main" id="24" name="DestroyerTable" displayName="DestroyerTable" ref="A8:AH189" headerRowCount="1" totalsRowCount="0" totalsRowShown="0">
  <autoFilter ref="A8:AH189"/>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AAEFF"/>
    <tableColumn id="22" name="AAEFF2"/>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25.xml><?xml version="1.0" encoding="utf-8"?>
<table xmlns="http://schemas.openxmlformats.org/spreadsheetml/2006/main" id="25" name="EquipType" displayName="EquipType" ref="U1:U11" headerRowCount="1" totalsRowCount="0" totalsRowShown="0">
  <autoFilter ref="U1:U11"/>
  <tableColumns count="1">
    <tableColumn id="1" name="Type"/>
  </tableColumns>
</table>
</file>

<file path=xl/tables/table26.xml><?xml version="1.0" encoding="utf-8"?>
<table xmlns="http://schemas.openxmlformats.org/spreadsheetml/2006/main" id="26" name="FFNFGhostAux" displayName="FFNFGhostAux" ref="A458:K460" headerRowCount="1" totalsRowCount="0" totalsRowShown="0">
  <autoFilter ref="A458:K460"/>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27.xml><?xml version="1.0" encoding="utf-8"?>
<table xmlns="http://schemas.openxmlformats.org/spreadsheetml/2006/main" id="27" name="FIDIBTable" displayName="FIDIBTable" ref="A237:N275" headerRowCount="1" totalsRowCount="0" totalsRowShown="0">
  <autoFilter ref="A237:N275"/>
  <tableColumns count="14">
    <tableColumn id="1" name="Name"/>
    <tableColumn id="2" name="AirP"/>
    <tableColumn id="3" name="Tier"/>
    <tableColumn id="4" name="100lb"/>
    <tableColumn id="5" name="500lb"/>
    <tableColumn id="6" name="500lbEX"/>
    <tableColumn id="7" name="1000lb"/>
    <tableColumn id="8" name="1000lbEX"/>
    <tableColumn id="9" name="1000lbEX2"/>
    <tableColumn id="10" name="1600lbAP"/>
    <tableColumn id="11" name="1600lb"/>
    <tableColumn id="12" name="2000lb"/>
    <tableColumn id="13" name="RoF"/>
    <tableColumn id="14" name="SPD"/>
  </tableColumns>
</table>
</file>

<file path=xl/tables/table28.xml><?xml version="1.0" encoding="utf-8"?>
<table xmlns="http://schemas.openxmlformats.org/spreadsheetml/2006/main" id="28" name="GhostAux" displayName="GhostAux" ref="A451:K453" headerRowCount="1" totalsRowCount="0" totalsRowShown="0">
  <autoFilter ref="A451:K453"/>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29.xml><?xml version="1.0" encoding="utf-8"?>
<table xmlns="http://schemas.openxmlformats.org/spreadsheetml/2006/main" id="29" name="HDNGhostAux" displayName="HDNGhostAux" ref="A462:K465" headerRowCount="1" totalsRowCount="0" totalsRowShown="0">
  <autoFilter ref="A462:K465"/>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xml><?xml version="1.0" encoding="utf-8"?>
<table xmlns="http://schemas.openxmlformats.org/spreadsheetml/2006/main" id="3" name="ArmorChoices" displayName="ArmorChoices" ref="U28:U32" headerRowCount="1" totalsRowCount="0" totalsRowShown="0">
  <autoFilter ref="U28:U32"/>
  <tableColumns count="1">
    <tableColumn id="1" name="Type"/>
  </tableColumns>
</table>
</file>

<file path=xl/tables/table30.xml><?xml version="1.0" encoding="utf-8"?>
<table xmlns="http://schemas.openxmlformats.org/spreadsheetml/2006/main" id="30" name="HeavyCruiserTable" displayName="HeavyCruiserTable" ref="A295:AH359" headerRowCount="1" totalsRowCount="0" totalsRowShown="0">
  <autoFilter ref="A295:AH359"/>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AAEFF"/>
    <tableColumn id="22" name="AAEFF2"/>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31.xml><?xml version="1.0" encoding="utf-8"?>
<table xmlns="http://schemas.openxmlformats.org/spreadsheetml/2006/main" id="31" name="HMSGhostAux" displayName="HMSGhostAux" ref="A467:K469" headerRowCount="1" totalsRowCount="0" totalsRowShown="0">
  <autoFilter ref="A467:K469"/>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2.xml><?xml version="1.0" encoding="utf-8"?>
<table xmlns="http://schemas.openxmlformats.org/spreadsheetml/2006/main" id="32" name="IJNGhostAux" displayName="IJNGhostAux" ref="A471:K474" headerRowCount="1" totalsRowCount="0" totalsRowShown="0">
  <autoFilter ref="A471:K474"/>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3.xml><?xml version="1.0" encoding="utf-8"?>
<table xmlns="http://schemas.openxmlformats.org/spreadsheetml/2006/main" id="33" name="KMSGhostAux" displayName="KMSGhostAux" ref="A476:K478" headerRowCount="1" totalsRowCount="0" totalsRowShown="0">
  <autoFilter ref="A476:K478"/>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34.xml><?xml version="1.0" encoding="utf-8"?>
<table xmlns="http://schemas.openxmlformats.org/spreadsheetml/2006/main" id="34" name="LightCarrierTable" displayName="LightCarrierTable" ref="A486:AS516" headerRowCount="1" totalsRowCount="0" totalsRowShown="0">
  <autoFilter ref="A486:AS516"/>
  <tableColumns count="45">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TRIEFF"/>
    <tableColumn id="22" name="Plane1"/>
    <tableColumn id="23" name="Plane2"/>
    <tableColumn id="24" name="Plane3"/>
    <tableColumn id="25" name="Type1"/>
    <tableColumn id="26" name="Type2"/>
    <tableColumn id="27" name="Type3"/>
    <tableColumn id="28" name="AAEFF"/>
    <tableColumn id="29" name="AAEFF2"/>
    <tableColumn id="30" name="Barg1"/>
    <tableColumn id="31" name="Barg2"/>
    <tableColumn id="32" name="Barg3"/>
    <tableColumn id="33" name="Barg4"/>
    <tableColumn id="34" name="Barg5"/>
    <tableColumn id="35" name="Barg6"/>
    <tableColumn id="36" name="Barg7"/>
    <tableColumn id="37" name="Barg8"/>
    <tableColumn id="38" name="Skill1"/>
    <tableColumn id="39" name="Skill2"/>
    <tableColumn id="40" name="Skill3"/>
    <tableColumn id="41" name="Skill4"/>
    <tableColumn id="42" name="SkillName1"/>
    <tableColumn id="43" name="SkillName2"/>
    <tableColumn id="44" name="SkillName3"/>
    <tableColumn id="45" name="SkillName4"/>
  </tableColumns>
</table>
</file>

<file path=xl/tables/table35.xml><?xml version="1.0" encoding="utf-8"?>
<table xmlns="http://schemas.openxmlformats.org/spreadsheetml/2006/main" id="35" name="LightCruiserTable" displayName="LightCruiserTable" ref="A191:AH293" headerRowCount="1" totalsRowCount="0" totalsRowShown="0">
  <autoFilter ref="A191:AH293"/>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AAEFF"/>
    <tableColumn id="22" name="AAEFF2"/>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36.xml><?xml version="1.0" encoding="utf-8"?>
<table xmlns="http://schemas.openxmlformats.org/spreadsheetml/2006/main" id="36" name="MunitionShipTable" displayName="MunitionShipTable" ref="A5:AB6" headerRowCount="1" totalsRowCount="0" totalsRowShown="0">
  <autoFilter ref="A5:AB6"/>
  <tableColumns count="28">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AAEFF"/>
    <tableColumn id="21" name="AAEFF2"/>
    <tableColumn id="22" name="Skill1"/>
    <tableColumn id="23" name="Skill2"/>
    <tableColumn id="24" name="Skill3"/>
    <tableColumn id="25" name="SkillName1"/>
    <tableColumn id="26" name="SkillName2"/>
    <tableColumn id="27" name="SkillName3"/>
    <tableColumn id="28" name="Barg1"/>
  </tableColumns>
</table>
</file>

<file path=xl/tables/table37.xml><?xml version="1.0" encoding="utf-8"?>
<table xmlns="http://schemas.openxmlformats.org/spreadsheetml/2006/main" id="37" name="NoneCoef" displayName="NoneCoef" ref="A153:D154" headerRowCount="1" totalsRowCount="0" totalsRowShown="0">
  <autoFilter ref="A153:D154"/>
  <tableColumns count="4">
    <tableColumn id="1" name="Ammo"/>
    <tableColumn id="2" name="Light"/>
    <tableColumn id="3" name="Medium"/>
    <tableColumn id="4" name="Heavy"/>
  </tableColumns>
</table>
</file>

<file path=xl/tables/table38.xml><?xml version="1.0" encoding="utf-8"?>
<table xmlns="http://schemas.openxmlformats.org/spreadsheetml/2006/main" id="38" name="OffenseTable" displayName="OffenseTable" ref="A176:R205" headerRowCount="1" totalsRowCount="0" totalsRowShown="0">
  <autoFilter ref="A176:R205"/>
  <tableColumns count="18">
    <tableColumn id="1" name="Name"/>
    <tableColumn id="2" name="HP"/>
    <tableColumn id="3" name="FP"/>
    <tableColumn id="4" name="AA"/>
    <tableColumn id="5" name="TP"/>
    <tableColumn id="6" name="AirP"/>
    <tableColumn id="7" name="RELOAD"/>
    <tableColumn id="8" name="EVA"/>
    <tableColumn id="9" name="HIT"/>
    <tableColumn id="10" name="SPD"/>
    <tableColumn id="11" name="CritDamage"/>
    <tableColumn id="12" name="Crit%"/>
    <tableColumn id="13" name="CDReduction"/>
    <tableColumn id="14" name="Notes"/>
    <tableColumn id="15" name="LUCK"/>
    <tableColumn id="16" name="FPModifier"/>
    <tableColumn id="17" name="HitModifier"/>
    <tableColumn id="18" name="ASW"/>
  </tableColumns>
</table>
</file>

<file path=xl/tables/table39.xml><?xml version="1.0" encoding="utf-8"?>
<table xmlns="http://schemas.openxmlformats.org/spreadsheetml/2006/main" id="39" name="RepairShipTable" displayName="RepairShipTable" ref="A1:Z3" headerRowCount="1" totalsRowCount="0" totalsRowShown="0">
  <autoFilter ref="A1:Z3"/>
  <tableColumns count="26">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AAEFF"/>
    <tableColumn id="20" name="AAEFF2"/>
    <tableColumn id="21" name="Skill1"/>
    <tableColumn id="22" name="Skill2"/>
    <tableColumn id="23" name="Skill3"/>
    <tableColumn id="24" name="SkillName1"/>
    <tableColumn id="25" name="SkillName2"/>
    <tableColumn id="26" name="SkillName3"/>
  </tableColumns>
</table>
</file>

<file path=xl/tables/table4.xml><?xml version="1.0" encoding="utf-8"?>
<table xmlns="http://schemas.openxmlformats.org/spreadsheetml/2006/main" id="4" name="AuxType" displayName="AuxType" ref="U13:U16" headerRowCount="1" totalsRowCount="0" totalsRowShown="0">
  <autoFilter ref="U13:U16"/>
  <tableColumns count="1">
    <tableColumn id="1" name="Type"/>
  </tableColumns>
</table>
</file>

<file path=xl/tables/table40.xml><?xml version="1.0" encoding="utf-8"?>
<table xmlns="http://schemas.openxmlformats.org/spreadsheetml/2006/main" id="40" name="SNGhostAux" displayName="SNGhostAux" ref="A480:K481" headerRowCount="1" totalsRowCount="0" totalsRowShown="0">
  <autoFilter ref="A480:K481"/>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41.xml><?xml version="1.0" encoding="utf-8"?>
<table xmlns="http://schemas.openxmlformats.org/spreadsheetml/2006/main" id="41" name="SSCoef" displayName="SSCoef" ref="A148:E151" headerRowCount="1" totalsRowCount="0" totalsRowShown="0">
  <autoFilter ref="A148:E151"/>
  <tableColumns count="5">
    <tableColumn id="1" name="Ammo"/>
    <tableColumn id="2" name="Light"/>
    <tableColumn id="3" name="Medium"/>
    <tableColumn id="4" name="Heavy"/>
    <tableColumn id="5" name="SPD"/>
  </tableColumns>
</table>
</file>

<file path=xl/tables/table42.xml><?xml version="1.0" encoding="utf-8"?>
<table xmlns="http://schemas.openxmlformats.org/spreadsheetml/2006/main" id="42" name="SSTable" displayName="SSTable" ref="A438:L449" headerRowCount="1" totalsRowCount="0" totalsRowShown="0">
  <autoFilter ref="A438:L449"/>
  <tableColumns count="12">
    <tableColumn id="1" name="Name"/>
    <tableColumn id="2" name="Stars"/>
    <tableColumn id="3" name="TP"/>
    <tableColumn id="4" name="Damage"/>
    <tableColumn id="5" name="Rounds"/>
    <tableColumn id="6" name="RoF"/>
    <tableColumn id="7" name="Rng"/>
    <tableColumn id="8" name="Spread"/>
    <tableColumn id="9" name="Angle"/>
    <tableColumn id="10" name="Ammo"/>
    <tableColumn id="11" name="Drop"/>
    <tableColumn id="12" name="Notes"/>
  </tableColumns>
</table>
</file>

<file path=xl/tables/table43.xml><?xml version="1.0" encoding="utf-8"?>
<table xmlns="http://schemas.openxmlformats.org/spreadsheetml/2006/main" id="43" name="Stats" displayName="Stats" ref="A1083:A1086" headerRowCount="1" totalsRowCount="0" totalsRowShown="0">
  <autoFilter ref="A1083:A1086"/>
  <tableColumns count="1">
    <tableColumn id="1" name="TableStats"/>
  </tableColumns>
</table>
</file>

<file path=xl/tables/table44.xml><?xml version="1.0" encoding="utf-8"?>
<table xmlns="http://schemas.openxmlformats.org/spreadsheetml/2006/main" id="44" name="SType" displayName="SType" ref="A545:B557" headerRowCount="1" totalsRowCount="0" totalsRowShown="0">
  <autoFilter ref="A545:B557"/>
  <tableColumns count="2">
    <tableColumn id="1" name="Ship"/>
    <tableColumn id="2" name="Type"/>
  </tableColumns>
</table>
</file>

<file path=xl/tables/table45.xml><?xml version="1.0" encoding="utf-8"?>
<table xmlns="http://schemas.openxmlformats.org/spreadsheetml/2006/main" id="45" name="SubmarineCarrierTable" displayName="SubmarineCarrierTable" ref="A542:AN543" headerRowCount="1" totalsRowCount="0" totalsRowShown="0">
  <autoFilter ref="A542:AN543"/>
  <tableColumns count="40">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OXY"/>
    <tableColumn id="20" name="EFF"/>
    <tableColumn id="21" name="SECEFF"/>
    <tableColumn id="22" name="TRIEFF"/>
    <tableColumn id="23" name="Plane1"/>
    <tableColumn id="24" name="Plane2"/>
    <tableColumn id="25" name="Plane3"/>
    <tableColumn id="26" name="Type1"/>
    <tableColumn id="27" name="Type2"/>
    <tableColumn id="28" name="Type3"/>
    <tableColumn id="29" name="Barg1"/>
    <tableColumn id="30" name="Barg2"/>
    <tableColumn id="31" name="Barg3"/>
    <tableColumn id="32" name="Barg4"/>
    <tableColumn id="33" name="Skill1"/>
    <tableColumn id="34" name="Skill2"/>
    <tableColumn id="35" name="Skill3"/>
    <tableColumn id="36" name="Skill4"/>
    <tableColumn id="37" name="SkillName1"/>
    <tableColumn id="38" name="SkillName2"/>
    <tableColumn id="39" name="SkillName3"/>
    <tableColumn id="40" name="SkillName4"/>
  </tableColumns>
</table>
</file>

<file path=xl/tables/table46.xml><?xml version="1.0" encoding="utf-8"?>
<table xmlns="http://schemas.openxmlformats.org/spreadsheetml/2006/main" id="46" name="SubmarineTable" displayName="SubmarineTable" ref="A518:AH540" headerRowCount="1" totalsRowCount="0" totalsRowShown="0">
  <autoFilter ref="A518:AH540"/>
  <tableColumns count="34">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OXY"/>
    <tableColumn id="20" name="EFF"/>
    <tableColumn id="21" name="SECEFF"/>
    <tableColumn id="22" name="TRIEFF"/>
    <tableColumn id="23" name="Barg1"/>
    <tableColumn id="24" name="Barg2"/>
    <tableColumn id="25" name="Barg3"/>
    <tableColumn id="26" name="Barg4"/>
    <tableColumn id="27" name="Skill1"/>
    <tableColumn id="28" name="Skill2"/>
    <tableColumn id="29" name="Skill3"/>
    <tableColumn id="30" name="Skill4"/>
    <tableColumn id="31" name="SkillName1"/>
    <tableColumn id="32" name="SkillName2"/>
    <tableColumn id="33" name="SkillName3"/>
    <tableColumn id="34" name="SkillName4"/>
  </tableColumns>
</table>
</file>

<file path=xl/tables/table47.xml><?xml version="1.0" encoding="utf-8"?>
<table xmlns="http://schemas.openxmlformats.org/spreadsheetml/2006/main" id="47" name="Table39" displayName="Table39" ref="A1:E3" headerRowCount="1" totalsRowCount="0" totalsRowShown="0">
  <autoFilter ref="A1:E3"/>
  <tableColumns count="5">
    <tableColumn id="1" name="World"/>
    <tableColumn id="2" name="Plane"/>
    <tableColumn id="3" name="HP"/>
    <tableColumn id="4" name="Speed"/>
    <tableColumn id="5" name="Velocity"/>
  </tableColumns>
</table>
</file>

<file path=xl/tables/table48.xml><?xml version="1.0" encoding="utf-8"?>
<table xmlns="http://schemas.openxmlformats.org/spreadsheetml/2006/main" id="48" name="TBTable" displayName="TBTable" ref="A277:H294" headerRowCount="1" totalsRowCount="0" totalsRowShown="0">
  <autoFilter ref="A277:H294"/>
  <tableColumns count="8">
    <tableColumn id="1" name="Name"/>
    <tableColumn id="2" name="AirP"/>
    <tableColumn id="3" name="Tier"/>
    <tableColumn id="4" name="Torpedo"/>
    <tableColumn id="5" name="Damage"/>
    <tableColumn id="6" name="Rnd"/>
    <tableColumn id="7" name="RoF"/>
    <tableColumn id="8" name="SPD"/>
  </tableColumns>
</table>
</file>

<file path=xl/tables/table49.xml><?xml version="1.0" encoding="utf-8"?>
<table xmlns="http://schemas.openxmlformats.org/spreadsheetml/2006/main" id="49" name="TORPCoef" displayName="TORPCoef" ref="A143:E146" headerRowCount="1" totalsRowCount="0" totalsRowShown="0">
  <autoFilter ref="A143:E146"/>
  <tableColumns count="5">
    <tableColumn id="1" name="Ammo"/>
    <tableColumn id="2" name="Light"/>
    <tableColumn id="3" name="Medium"/>
    <tableColumn id="4" name="Heavy"/>
    <tableColumn id="5" name="SPD"/>
  </tableColumns>
</table>
</file>

<file path=xl/tables/table5.xml><?xml version="1.0" encoding="utf-8"?>
<table xmlns="http://schemas.openxmlformats.org/spreadsheetml/2006/main" id="5" name="Barrage" displayName="Barrage" ref="A1:U427" headerRowCount="1" totalsRowCount="0" totalsRowShown="0">
  <autoFilter ref="A1:U427"/>
  <tableColumns count="21">
    <tableColumn id="1" name="Type"/>
    <tableColumn id="2" name="Name"/>
    <tableColumn id="3" name="Ships With Barrage"/>
    <tableColumn id="4" name="Base Damage"/>
    <tableColumn id="5" name="Total Rounds"/>
    <tableColumn id="6" name="Coefficient"/>
    <tableColumn id="7" name="Total Damage"/>
    <tableColumn id="8" name="Round Type"/>
    <tableColumn id="9" name="Light Armor"/>
    <tableColumn id="10" name="Medium Armor"/>
    <tableColumn id="11" name="Heavy Armor"/>
    <tableColumn id="12" name="Burn %"/>
    <tableColumn id="13" name="Burn Priority"/>
    <tableColumn id="14" name="Burn Coeff"/>
    <tableColumn id="15" name="Flood %"/>
    <tableColumn id="16" name="Flood Coeff"/>
    <tableColumn id="17" name="AP Pen"/>
    <tableColumn id="18" name="Type2"/>
    <tableColumn id="19" name="Crit %"/>
    <tableColumn id="20" name="Stat Mod"/>
    <tableColumn id="21" name="Extra"/>
  </tableColumns>
</table>
</file>

<file path=xl/tables/table50.xml><?xml version="1.0" encoding="utf-8"?>
<table xmlns="http://schemas.openxmlformats.org/spreadsheetml/2006/main" id="50" name="TorpedoDamage" displayName="TorpedoDamage" ref="A419:D436" headerRowCount="1" totalsRowCount="0" totalsRowShown="0">
  <autoFilter ref="A419:D436"/>
  <tableColumns count="4">
    <tableColumn id="1" name="Name"/>
    <tableColumn id="2" name="Light"/>
    <tableColumn id="3" name="Medium"/>
    <tableColumn id="4" name="Heavy"/>
  </tableColumns>
</table>
</file>

<file path=xl/tables/table51.xml><?xml version="1.0" encoding="utf-8"?>
<table xmlns="http://schemas.openxmlformats.org/spreadsheetml/2006/main" id="51" name="TORPTable" displayName="TORPTable" ref="A88:J102" headerRowCount="1" totalsRowCount="0" totalsRowShown="0">
  <autoFilter ref="A88:J102"/>
  <tableColumns count="10">
    <tableColumn id="1" name="Name"/>
    <tableColumn id="2" name="TP"/>
    <tableColumn id="3" name="DAMAGE"/>
    <tableColumn id="4" name="EFF"/>
    <tableColumn id="5" name="ROUNDS"/>
    <tableColumn id="6" name="ROF"/>
    <tableColumn id="7" name="Rng"/>
    <tableColumn id="8" name="Spread"/>
    <tableColumn id="9" name="Angle"/>
    <tableColumn id="10" name="Ammo"/>
  </tableColumns>
</table>
</file>

<file path=xl/tables/table52.xml><?xml version="1.0" encoding="utf-8"?>
<table xmlns="http://schemas.openxmlformats.org/spreadsheetml/2006/main" id="52" name="USSGhostAux" displayName="USSGhostAux" ref="A483:K484" headerRowCount="1" totalsRowCount="0" totalsRowShown="0">
  <autoFilter ref="A483:K484"/>
  <tableColumns count="11">
    <tableColumn id="1" name="Nation"/>
    <tableColumn id="2" name="ShipType"/>
    <tableColumn id="3" name="Damage"/>
    <tableColumn id="4" name="Rounds"/>
    <tableColumn id="5" name="Coef"/>
    <tableColumn id="6" name="Light"/>
    <tableColumn id="7" name="Medium"/>
    <tableColumn id="8" name="Heavy"/>
    <tableColumn id="9" name="Ammo"/>
    <tableColumn id="10" name="VT"/>
    <tableColumn id="11" name="RoF"/>
  </tableColumns>
</table>
</file>

<file path=xl/tables/table53.xml><?xml version="1.0" encoding="utf-8"?>
<table xmlns="http://schemas.openxmlformats.org/spreadsheetml/2006/main" id="53" name="YNTable" displayName="YNTable" ref="U24:U26" headerRowCount="1" totalsRowCount="0" totalsRowShown="0">
  <autoFilter ref="U24:U26"/>
  <tableColumns count="1">
    <tableColumn id="1" name="Type"/>
  </tableColumns>
</table>
</file>

<file path=xl/tables/table6.xml><?xml version="1.0" encoding="utf-8"?>
<table xmlns="http://schemas.openxmlformats.org/spreadsheetml/2006/main" id="6" name="Base" displayName="Base" ref="A560:B1082" headerRowCount="1" totalsRowCount="0" totalsRowShown="0">
  <autoFilter ref="A560:B1082"/>
  <tableColumns count="2">
    <tableColumn id="1" name="Akashi"/>
    <tableColumn id="2" name="AR"/>
  </tableColumns>
</table>
</file>

<file path=xl/tables/table7.xml><?xml version="1.0" encoding="utf-8"?>
<table xmlns="http://schemas.openxmlformats.org/spreadsheetml/2006/main" id="7" name="BattleshipTable" displayName="BattleshipTable" ref="A361:AO443" headerRowCount="1" totalsRowCount="0" totalsRowShown="0">
  <autoFilter ref="A361:AO443"/>
  <tableColumns count="41">
    <tableColumn id="1" name="ID"/>
    <tableColumn id="2" name="Name"/>
    <tableColumn id="3" name="Nation"/>
    <tableColumn id="4" name="Rarity"/>
    <tableColumn id="5" name="Type"/>
    <tableColumn id="6" name="HP"/>
    <tableColumn id="7" name="Armor Type"/>
    <tableColumn id="8" name="RELOAD"/>
    <tableColumn id="9" name="FP"/>
    <tableColumn id="10" name="TP"/>
    <tableColumn id="11" name="EVA"/>
    <tableColumn id="12" name="AA"/>
    <tableColumn id="13" name="AirP"/>
    <tableColumn id="14" name="Oil"/>
    <tableColumn id="15" name="ASW"/>
    <tableColumn id="16" name="SPD"/>
    <tableColumn id="17" name="Luck"/>
    <tableColumn id="18" name="Hit"/>
    <tableColumn id="19" name="EFF"/>
    <tableColumn id="20" name="SECEFF"/>
    <tableColumn id="21" name="Type1"/>
    <tableColumn id="22" name="Type2"/>
    <tableColumn id="23" name="Type3"/>
    <tableColumn id="24" name="Plane2"/>
    <tableColumn id="25" name="AAEFF"/>
    <tableColumn id="26" name="AAEFF2"/>
    <tableColumn id="27" name="Barg1"/>
    <tableColumn id="28" name="Barg2"/>
    <tableColumn id="29" name="Barg3"/>
    <tableColumn id="30" name="Barg4"/>
    <tableColumn id="31" name="Barg5"/>
    <tableColumn id="32" name="Barg6"/>
    <tableColumn id="33" name="Barg7"/>
    <tableColumn id="34" name="Skill1"/>
    <tableColumn id="35" name="Skill2"/>
    <tableColumn id="36" name="Skill3"/>
    <tableColumn id="37" name="Skill4"/>
    <tableColumn id="38" name="SkillName1"/>
    <tableColumn id="39" name="SkillName2"/>
    <tableColumn id="40" name="SkillName3"/>
    <tableColumn id="41" name="SkillName4"/>
  </tableColumns>
</table>
</file>

<file path=xl/tables/table8.xml><?xml version="1.0" encoding="utf-8"?>
<table xmlns="http://schemas.openxmlformats.org/spreadsheetml/2006/main" id="8" name="BBCoef" displayName="BBCoef" ref="A132:E141" headerRowCount="1" totalsRowCount="0" totalsRowShown="0">
  <autoFilter ref="A132:E141"/>
  <tableColumns count="5">
    <tableColumn id="1" name="Ammo"/>
    <tableColumn id="2" name="Light"/>
    <tableColumn id="3" name="Medium"/>
    <tableColumn id="4" name="Heavy"/>
    <tableColumn id="5" name="SPD"/>
  </tableColumns>
</table>
</file>

<file path=xl/tables/table9.xml><?xml version="1.0" encoding="utf-8"?>
<table xmlns="http://schemas.openxmlformats.org/spreadsheetml/2006/main" id="9" name="BBTable" displayName="BBTable" ref="A63:N86" headerRowCount="1" totalsRowCount="0" totalsRowShown="0">
  <autoFilter ref="A63:N86"/>
  <tableColumns count="14">
    <tableColumn id="1" name="Name"/>
    <tableColumn id="2" name="Type"/>
    <tableColumn id="3" name="FP"/>
    <tableColumn id="4" name="AA"/>
    <tableColumn id="5" name="DAMAGE"/>
    <tableColumn id="6" name="EFF"/>
    <tableColumn id="7" name="ROUNDS"/>
    <tableColumn id="8" name="VT"/>
    <tableColumn id="9" name="ROF"/>
    <tableColumn id="10" name="Rng"/>
    <tableColumn id="11" name="Spr"/>
    <tableColumn id="12" name="Angle"/>
    <tableColumn id="13" name="Attr"/>
    <tableColumn id="14" name="Ammo"/>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table" Target="../tables/table47.xml"/>
</Relationships>
</file>

<file path=xl/worksheets/_rels/sheet12.xml.rels><?xml version="1.0" encoding="UTF-8"?>
<Relationships xmlns="http://schemas.openxmlformats.org/package/2006/relationships"><Relationship Id="rId1" Type="http://schemas.openxmlformats.org/officeDocument/2006/relationships/hyperlink" Target="https://azurlane.koumakan.jp/Souryuu" TargetMode="External"/><Relationship Id="rId2" Type="http://schemas.openxmlformats.org/officeDocument/2006/relationships/hyperlink" Target="https://azurlane.koumakan.jp/Souryuu" TargetMode="External"/><Relationship Id="rId3" Type="http://schemas.openxmlformats.org/officeDocument/2006/relationships/hyperlink" Target="https://azurlane.koumakan.jp/Hiryuu" TargetMode="External"/><Relationship Id="rId4" Type="http://schemas.openxmlformats.org/officeDocument/2006/relationships/hyperlink" Target="https://azurlane.koumakan.jp/Hiryuu" TargetMode="External"/><Relationship Id="rId5" Type="http://schemas.openxmlformats.org/officeDocument/2006/relationships/table" Target="../tables/table6.xml"/><Relationship Id="rId6" Type="http://schemas.openxmlformats.org/officeDocument/2006/relationships/table" Target="../tables/table7.xml"/><Relationship Id="rId7" Type="http://schemas.openxmlformats.org/officeDocument/2006/relationships/table" Target="../tables/table16.xml"/><Relationship Id="rId8" Type="http://schemas.openxmlformats.org/officeDocument/2006/relationships/table" Target="../tables/table24.xml"/><Relationship Id="rId9" Type="http://schemas.openxmlformats.org/officeDocument/2006/relationships/table" Target="../tables/table30.xml"/><Relationship Id="rId10" Type="http://schemas.openxmlformats.org/officeDocument/2006/relationships/table" Target="../tables/table34.xml"/><Relationship Id="rId11" Type="http://schemas.openxmlformats.org/officeDocument/2006/relationships/table" Target="../tables/table35.xml"/><Relationship Id="rId12" Type="http://schemas.openxmlformats.org/officeDocument/2006/relationships/table" Target="../tables/table36.xml"/><Relationship Id="rId13" Type="http://schemas.openxmlformats.org/officeDocument/2006/relationships/table" Target="../tables/table39.xml"/><Relationship Id="rId14" Type="http://schemas.openxmlformats.org/officeDocument/2006/relationships/table" Target="../tables/table43.xml"/><Relationship Id="rId15" Type="http://schemas.openxmlformats.org/officeDocument/2006/relationships/table" Target="../tables/table44.xml"/><Relationship Id="rId16" Type="http://schemas.openxmlformats.org/officeDocument/2006/relationships/table" Target="../tables/table45.xml"/><Relationship Id="rId17" Type="http://schemas.openxmlformats.org/officeDocument/2006/relationships/table" Target="../tables/table46.xml"/>
</Relationships>
</file>

<file path=xl/worksheets/_rels/sheet13.xml.rels><?xml version="1.0" encoding="UTF-8"?>
<Relationships xmlns="http://schemas.openxmlformats.org/package/2006/relationships"><Relationship Id="rId1" Type="http://schemas.openxmlformats.org/officeDocument/2006/relationships/table" Target="../tables/table5.xml"/>
</Relationships>
</file>

<file path=xl/worksheets/_rels/sheet1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 Id="rId8" Type="http://schemas.openxmlformats.org/officeDocument/2006/relationships/table" Target="../tables/table11.xml"/><Relationship Id="rId9" Type="http://schemas.openxmlformats.org/officeDocument/2006/relationships/table" Target="../tables/table12.xml"/><Relationship Id="rId10" Type="http://schemas.openxmlformats.org/officeDocument/2006/relationships/table" Target="../tables/table13.xml"/><Relationship Id="rId11" Type="http://schemas.openxmlformats.org/officeDocument/2006/relationships/table" Target="../tables/table14.xml"/><Relationship Id="rId12" Type="http://schemas.openxmlformats.org/officeDocument/2006/relationships/table" Target="../tables/table15.xml"/><Relationship Id="rId13" Type="http://schemas.openxmlformats.org/officeDocument/2006/relationships/table" Target="../tables/table17.xml"/><Relationship Id="rId14" Type="http://schemas.openxmlformats.org/officeDocument/2006/relationships/table" Target="../tables/table18.xml"/><Relationship Id="rId15" Type="http://schemas.openxmlformats.org/officeDocument/2006/relationships/table" Target="../tables/table19.xml"/><Relationship Id="rId16" Type="http://schemas.openxmlformats.org/officeDocument/2006/relationships/table" Target="../tables/table20.xml"/><Relationship Id="rId17" Type="http://schemas.openxmlformats.org/officeDocument/2006/relationships/table" Target="../tables/table21.xml"/><Relationship Id="rId18" Type="http://schemas.openxmlformats.org/officeDocument/2006/relationships/table" Target="../tables/table22.xml"/><Relationship Id="rId19" Type="http://schemas.openxmlformats.org/officeDocument/2006/relationships/table" Target="../tables/table23.xml"/><Relationship Id="rId20" Type="http://schemas.openxmlformats.org/officeDocument/2006/relationships/table" Target="../tables/table25.xml"/><Relationship Id="rId21" Type="http://schemas.openxmlformats.org/officeDocument/2006/relationships/table" Target="../tables/table26.xml"/><Relationship Id="rId22" Type="http://schemas.openxmlformats.org/officeDocument/2006/relationships/table" Target="../tables/table27.xml"/><Relationship Id="rId23" Type="http://schemas.openxmlformats.org/officeDocument/2006/relationships/table" Target="../tables/table28.xml"/><Relationship Id="rId24" Type="http://schemas.openxmlformats.org/officeDocument/2006/relationships/table" Target="../tables/table29.xml"/><Relationship Id="rId25" Type="http://schemas.openxmlformats.org/officeDocument/2006/relationships/table" Target="../tables/table31.xml"/><Relationship Id="rId26" Type="http://schemas.openxmlformats.org/officeDocument/2006/relationships/table" Target="../tables/table32.xml"/><Relationship Id="rId27" Type="http://schemas.openxmlformats.org/officeDocument/2006/relationships/table" Target="../tables/table33.xml"/><Relationship Id="rId28" Type="http://schemas.openxmlformats.org/officeDocument/2006/relationships/table" Target="../tables/table37.xml"/><Relationship Id="rId29" Type="http://schemas.openxmlformats.org/officeDocument/2006/relationships/table" Target="../tables/table38.xml"/><Relationship Id="rId30" Type="http://schemas.openxmlformats.org/officeDocument/2006/relationships/table" Target="../tables/table40.xml"/><Relationship Id="rId31" Type="http://schemas.openxmlformats.org/officeDocument/2006/relationships/table" Target="../tables/table41.xml"/><Relationship Id="rId32" Type="http://schemas.openxmlformats.org/officeDocument/2006/relationships/table" Target="../tables/table42.xml"/><Relationship Id="rId33" Type="http://schemas.openxmlformats.org/officeDocument/2006/relationships/table" Target="../tables/table48.xml"/><Relationship Id="rId34" Type="http://schemas.openxmlformats.org/officeDocument/2006/relationships/table" Target="../tables/table49.xml"/><Relationship Id="rId35" Type="http://schemas.openxmlformats.org/officeDocument/2006/relationships/table" Target="../tables/table50.xml"/><Relationship Id="rId36" Type="http://schemas.openxmlformats.org/officeDocument/2006/relationships/table" Target="../tables/table51.xml"/><Relationship Id="rId37" Type="http://schemas.openxmlformats.org/officeDocument/2006/relationships/table" Target="../tables/table52.xml"/><Relationship Id="rId38" Type="http://schemas.openxmlformats.org/officeDocument/2006/relationships/table" Target="../tables/table5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43" colorId="64" zoomScale="80" zoomScaleNormal="80" zoomScalePageLayoutView="100" workbookViewId="0">
      <selection pane="topLeft" activeCell="L70" activeCellId="0" sqref="L70"/>
    </sheetView>
  </sheetViews>
  <sheetFormatPr defaultColWidth="8.58984375" defaultRowHeight="14.4"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40"/>
  <sheetViews>
    <sheetView showFormulas="false" showGridLines="true" showRowColHeaders="true" showZeros="true" rightToLeft="false" tabSelected="false" showOutlineSymbols="true" defaultGridColor="true" view="normal" topLeftCell="A82" colorId="64" zoomScale="80" zoomScaleNormal="80" zoomScalePageLayoutView="100" workbookViewId="0">
      <selection pane="topLeft" activeCell="E86" activeCellId="0" sqref="E86"/>
    </sheetView>
  </sheetViews>
  <sheetFormatPr defaultColWidth="8.58984375" defaultRowHeight="14.4" zeroHeight="false" outlineLevelRow="0" outlineLevelCol="0"/>
  <cols>
    <col collapsed="false" customWidth="true" hidden="false" outlineLevel="0" max="3" min="3" style="0" width="12.66"/>
    <col collapsed="false" customWidth="true" hidden="false" outlineLevel="0" max="4" min="4" style="0" width="13.1"/>
    <col collapsed="false" customWidth="true" hidden="false" outlineLevel="0" max="6" min="5" style="0" width="15.66"/>
    <col collapsed="false" customWidth="true" hidden="false" outlineLevel="0" max="7" min="7" style="0" width="15.56"/>
    <col collapsed="false" customWidth="true" hidden="false" outlineLevel="0" max="8" min="8" style="0" width="14.35"/>
    <col collapsed="false" customWidth="true" hidden="false" outlineLevel="0" max="12" min="12" style="0" width="10.65"/>
    <col collapsed="false" customWidth="true" hidden="false" outlineLevel="0" max="14" min="14" style="0" width="10.58"/>
  </cols>
  <sheetData>
    <row r="1" customFormat="false" ht="14.4" hidden="false" customHeight="false" outlineLevel="0" collapsed="false">
      <c r="A1" s="1"/>
      <c r="B1" s="45"/>
      <c r="C1" s="45"/>
      <c r="D1" s="45"/>
      <c r="E1" s="45"/>
      <c r="F1" s="45"/>
      <c r="G1" s="45"/>
      <c r="H1" s="45"/>
      <c r="I1" s="45"/>
      <c r="J1" s="45"/>
      <c r="K1" s="45"/>
      <c r="L1" s="45"/>
      <c r="M1" s="45"/>
      <c r="N1" s="45"/>
      <c r="O1" s="45"/>
      <c r="P1" s="45"/>
      <c r="Q1" s="45"/>
      <c r="R1" s="45"/>
      <c r="S1" s="45"/>
      <c r="T1" s="45"/>
      <c r="U1" s="45"/>
    </row>
    <row r="2" customFormat="false" ht="14.4" hidden="false" customHeight="false" outlineLevel="0" collapsed="false">
      <c r="A2" s="1"/>
      <c r="B2" s="56" t="s">
        <v>363</v>
      </c>
      <c r="C2" s="15" t="s">
        <v>364</v>
      </c>
      <c r="D2" s="57" t="s">
        <v>116</v>
      </c>
      <c r="E2" s="57" t="s">
        <v>117</v>
      </c>
      <c r="F2" s="57" t="s">
        <v>365</v>
      </c>
      <c r="G2" s="57" t="s">
        <v>366</v>
      </c>
      <c r="H2" s="57" t="s">
        <v>367</v>
      </c>
      <c r="I2" s="45"/>
      <c r="J2" s="34" t="s">
        <v>368</v>
      </c>
      <c r="K2" s="34"/>
      <c r="L2" s="34"/>
      <c r="M2" s="140"/>
      <c r="N2" s="61" t="s">
        <v>369</v>
      </c>
      <c r="O2" s="61"/>
      <c r="P2" s="72" t="n">
        <f aca="false">SUM($G$12:$H$12)*$L$9+SUM($G$26:$H$26)*$L$23+SUM($G$40:$H$40)*$L$37+SUM($G$54:$H$54)*$L$51+SUM($G$68:$H$68)*$L$65+SUM($G$82:$H$82)*$L$79</f>
        <v>315</v>
      </c>
      <c r="Q2" s="61" t="s">
        <v>370</v>
      </c>
      <c r="R2" s="72" t="n">
        <f aca="false">$J$88</f>
        <v>1</v>
      </c>
      <c r="S2" s="45"/>
      <c r="T2" s="45"/>
      <c r="U2" s="45"/>
    </row>
    <row r="3" customFormat="false" ht="14.4" hidden="false" customHeight="false" outlineLevel="0" collapsed="false">
      <c r="A3" s="1"/>
      <c r="B3" s="20" t="s">
        <v>96</v>
      </c>
      <c r="C3" s="60" t="str">
        <f aca="false">IFERROR(INDEX(SType[],MATCH(C4,SType[Ship],0),COLUMN(SType[Type])),0)</f>
        <v>RepairShip</v>
      </c>
      <c r="D3" s="56" t="s">
        <v>247</v>
      </c>
      <c r="E3" s="56" t="s">
        <v>120</v>
      </c>
      <c r="F3" s="56" t="s">
        <v>120</v>
      </c>
      <c r="G3" s="56" t="s">
        <v>50</v>
      </c>
      <c r="H3" s="56" t="s">
        <v>50</v>
      </c>
      <c r="I3" s="45"/>
      <c r="J3" s="61" t="s">
        <v>195</v>
      </c>
      <c r="K3" s="62"/>
      <c r="L3" s="72" t="n">
        <f aca="false">SQRT(200/(100+(1+L8)*SUM(C6:H6)))*IF(B2="None",0,1)</f>
        <v>0.86386842558136</v>
      </c>
      <c r="M3" s="45"/>
      <c r="N3" s="61" t="s">
        <v>371</v>
      </c>
      <c r="O3" s="61"/>
      <c r="P3" s="72" t="n">
        <f aca="false">SUM($E$13,$E$27,$E$41,$E$69,$E$83,$E$55)</f>
        <v>9</v>
      </c>
      <c r="Q3" s="61" t="s">
        <v>372</v>
      </c>
      <c r="R3" s="72" t="n">
        <f aca="false">SUM($L$12,$L$13,$L$26,$L$27,$L$40,$L$41,$L$54,$L$55,$L$68,$L$69,$L$82,$L$83)*$R$2</f>
        <v>8090.095</v>
      </c>
      <c r="S3" s="45"/>
      <c r="T3" s="45"/>
      <c r="U3" s="45"/>
    </row>
    <row r="4" customFormat="false" ht="14.4" hidden="false" customHeight="false" outlineLevel="0" collapsed="false">
      <c r="A4" s="1"/>
      <c r="B4" s="20" t="s">
        <v>97</v>
      </c>
      <c r="C4" s="60" t="str">
        <f aca="false">IFERROR(INDEX(Base[],MATCH(C2,Base[Akashi],0),COLUMN(Base[AR])),0)</f>
        <v>AR</v>
      </c>
      <c r="D4" s="15" t="s">
        <v>36</v>
      </c>
      <c r="E4" s="15" t="s">
        <v>373</v>
      </c>
      <c r="F4" s="15" t="s">
        <v>373</v>
      </c>
      <c r="G4" s="15" t="s">
        <v>374</v>
      </c>
      <c r="H4" s="15" t="s">
        <v>374</v>
      </c>
      <c r="I4" s="45"/>
      <c r="J4" s="61" t="s">
        <v>375</v>
      </c>
      <c r="K4" s="62"/>
      <c r="L4" s="72" t="n">
        <f aca="false">G11*L3*IF(B2="None",0,1)</f>
        <v>1.17486105879065</v>
      </c>
      <c r="M4" s="45"/>
      <c r="N4" s="61" t="s">
        <v>376</v>
      </c>
      <c r="O4" s="61"/>
      <c r="P4" s="72" t="n">
        <f aca="false">P2/P3</f>
        <v>35</v>
      </c>
      <c r="Q4" s="61" t="s">
        <v>377</v>
      </c>
      <c r="R4" s="72" t="n">
        <f aca="false">R3/P5</f>
        <v>4897.45283953293</v>
      </c>
      <c r="S4" s="45"/>
      <c r="T4" s="45"/>
      <c r="U4" s="45"/>
    </row>
    <row r="5" customFormat="false" ht="14.4" hidden="false" customHeight="false" outlineLevel="0" collapsed="false">
      <c r="A5" s="1"/>
      <c r="B5" s="20" t="s">
        <v>50</v>
      </c>
      <c r="C5" s="72" t="n">
        <f aca="true">IFERROR(INDEX(INDIRECT(C3&amp;"Table"),MATCH(C2,INDIRECT(C3&amp;"Table"&amp;"[Name]"),0),COLUMN(INDIRECT(C3&amp;"Table"&amp;"["&amp;B5&amp;"]"))),0)*IF(B2="None",0,1)</f>
        <v>152</v>
      </c>
      <c r="D5" s="72" t="n">
        <f aca="true">IFERROR(INDEX(INDIRECT(D3&amp;"Table"),MATCH(D4,INDIRECT(D3&amp;"Table"&amp;"[Name]"),0),COLUMN(INDIRECT(D3&amp;"Table"&amp;"["&amp;B5&amp;"]"))),0)</f>
        <v>0</v>
      </c>
      <c r="E5" s="72" t="n">
        <f aca="true">IFERROR(INDEX(INDIRECT(E3&amp;"Table"),MATCH(E4,INDIRECT(E3&amp;"Table"&amp;"[Name]"),0),COLUMN(INDIRECT(E3&amp;"Table"&amp;"["&amp;$B$5&amp;"]"))),0)</f>
        <v>100</v>
      </c>
      <c r="F5" s="72" t="n">
        <f aca="true">IFERROR(INDEX(INDIRECT(F3&amp;"Table"),MATCH(F4,INDIRECT(F3&amp;"Table"&amp;"[Name]"),0),COLUMN(INDIRECT(F3&amp;"Table"&amp;"["&amp;B5&amp;"]"))),0)</f>
        <v>100</v>
      </c>
      <c r="G5" s="72" t="n">
        <f aca="true">IFERROR(INDEX(INDIRECT(G3&amp;"Table"),MATCH(G4,INDIRECT(G3&amp;"Table"&amp;"[Name]"),0),COLUMN(INDIRECT(G3&amp;"Table"&amp;"["&amp;B5&amp;"]"))),0)*IF(C7=0,0,1)</f>
        <v>45</v>
      </c>
      <c r="H5" s="72" t="n">
        <f aca="true">IFERROR(INDEX(INDIRECT(H3&amp;"Table"),MATCH(H4,INDIRECT(H3&amp;"Table"&amp;"[Name]"),0),COLUMN(INDIRECT(H3&amp;"Table"&amp;"["&amp;B5&amp;"]"))),0)*IF(C8=0,0,1)</f>
        <v>45</v>
      </c>
      <c r="I5" s="45"/>
      <c r="J5" s="61" t="s">
        <v>378</v>
      </c>
      <c r="K5" s="76"/>
      <c r="L5" s="72" t="n">
        <f aca="false">H11*L3*IF(B2="None",0,1)</f>
        <v>1.17486105879065</v>
      </c>
      <c r="M5" s="45"/>
      <c r="N5" s="61" t="s">
        <v>379</v>
      </c>
      <c r="O5" s="61"/>
      <c r="P5" s="72" t="n">
        <f aca="false">(SUM($L$4,$L$5)*$L$9+SUM($L$18,$L$19)*$L$23+SUM($L$32,$L$33)*$L$37+SUM($L$46,$L$47)*$L$51+SUM($L$60,$L$61)*$L$65+SUM($L$74,$L$75)*$L$79)/P3+0.5</f>
        <v>1.65189850011329</v>
      </c>
      <c r="Q5" s="61"/>
      <c r="R5" s="61"/>
      <c r="S5" s="45"/>
      <c r="T5" s="45"/>
      <c r="U5" s="45"/>
    </row>
    <row r="6" customFormat="false" ht="14.4" hidden="false" customHeight="false" outlineLevel="0" collapsed="false">
      <c r="A6" s="1"/>
      <c r="B6" s="20" t="s">
        <v>100</v>
      </c>
      <c r="C6" s="72" t="n">
        <f aca="true">IFERROR(INDEX(INDIRECT(C3&amp;"Table"),MATCH(C2,INDIRECT(C3&amp;"Table"&amp;"[Name]"),0),COLUMN(INDIRECT(C3&amp;"Table"&amp;"["&amp;B6&amp;"]"))),0)*IF(B2="None",0,1)</f>
        <v>168</v>
      </c>
      <c r="D6" s="72" t="n">
        <f aca="true">IFERROR(INDEX(INDIRECT(D3&amp;"Table"),MATCH(D4,INDIRECT(D3&amp;"Table"&amp;"[Name]"),0),COLUMN(INDIRECT(D3&amp;"Table"&amp;"["&amp;B6&amp;"]"))),0)</f>
        <v>0</v>
      </c>
      <c r="E6" s="72" t="n">
        <f aca="true">IFERROR(INDEX(INDIRECT(E3&amp;"Table"),MATCH(E4,INDIRECT(E3&amp;"Table"&amp;"[Name]"),0),COLUMN(INDIRECT(E3&amp;"Table"&amp;"["&amp;B6&amp;"]"))),0)</f>
        <v>0</v>
      </c>
      <c r="F6" s="72" t="n">
        <f aca="true">IFERROR(INDEX(INDIRECT(F3&amp;"Table"),MATCH($F$4,INDIRECT(F3&amp;"Table"&amp;"[Name]"),0),COLUMN(INDIRECT(F3&amp;"Table"&amp;"["&amp;B6&amp;"]"))),0)</f>
        <v>0</v>
      </c>
      <c r="G6" s="72" t="n">
        <f aca="true">IFERROR(INDEX(INDIRECT(G3&amp;"Table"),MATCH(G4,INDIRECT(G3&amp;"Table"&amp;"[Name]"),0),COLUMN(INDIRECT(G3&amp;"Table"&amp;"["&amp;B6&amp;"]"))),0)</f>
        <v>0</v>
      </c>
      <c r="H6" s="72" t="n">
        <f aca="true">IFERROR(INDEX(INDIRECT(H3&amp;"Table"),MATCH(H4,INDIRECT(H3&amp;"Table"&amp;"[Name]"),0),COLUMN(INDIRECT(H3&amp;"Table"&amp;"["&amp;B6&amp;"]"))),0)</f>
        <v>0</v>
      </c>
      <c r="I6" s="45"/>
      <c r="J6" s="61"/>
      <c r="K6" s="72"/>
      <c r="L6" s="72"/>
      <c r="M6" s="45"/>
      <c r="N6" s="61"/>
      <c r="O6" s="61"/>
      <c r="P6" s="61"/>
      <c r="Q6" s="61"/>
      <c r="R6" s="61"/>
      <c r="S6" s="45"/>
      <c r="T6" s="45"/>
      <c r="U6" s="45"/>
    </row>
    <row r="7" customFormat="false" ht="14.4" hidden="false" customHeight="false" outlineLevel="0" collapsed="false">
      <c r="A7" s="1"/>
      <c r="B7" s="20" t="s">
        <v>380</v>
      </c>
      <c r="C7" s="72" t="n">
        <f aca="true">IFERROR(INDEX(INDIRECT(C3&amp;"Table"),MATCH(C2,INDIRECT(C3&amp;"Table"&amp;"[Name]"),0),COLUMN(INDIRECT(C3&amp;"Table"&amp;"["&amp;B7&amp;"]"))),0)*IF(B2="None",0,1)</f>
        <v>1</v>
      </c>
      <c r="D7" s="72" t="n">
        <f aca="true">IFERROR(INDEX(INDIRECT(D3&amp;"Table"),MATCH(D4,INDIRECT(D3&amp;"Table"&amp;"[Name]"),0),COLUMN(INDIRECT(D3&amp;"Table"&amp;"["&amp;B7&amp;"]"))),0)</f>
        <v>0</v>
      </c>
      <c r="E7" s="72" t="n">
        <f aca="true">IFERROR(INDEX(INDIRECT(E3&amp;"Table"),MATCH(E4,INDIRECT(E3&amp;"Table"&amp;"[Name]"),0),COLUMN(INDIRECT(E3&amp;"Table"&amp;"["&amp;B7&amp;"]"))),0)</f>
        <v>0</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45"/>
      <c r="J7" s="61"/>
      <c r="K7" s="72"/>
      <c r="L7" s="72"/>
      <c r="M7" s="45"/>
      <c r="N7" s="61" t="s">
        <v>381</v>
      </c>
      <c r="O7" s="61"/>
      <c r="P7" s="72" t="n">
        <v>19.31</v>
      </c>
      <c r="Q7" s="61"/>
      <c r="R7" s="61"/>
      <c r="S7" s="45"/>
      <c r="T7" s="45"/>
      <c r="U7" s="45"/>
    </row>
    <row r="8" customFormat="false" ht="14.4" hidden="false" customHeight="false" outlineLevel="0" collapsed="false">
      <c r="A8" s="1"/>
      <c r="B8" s="20" t="s">
        <v>382</v>
      </c>
      <c r="C8" s="72" t="n">
        <f aca="true">IFERROR(INDEX(INDIRECT(C3&amp;"Table"),MATCH(C2,INDIRECT(C3&amp;"Table"&amp;"[Name]"),0),COLUMN(INDIRECT(C3&amp;"Table"&amp;"["&amp;B8&amp;"]"))),0)*IF(B2="None",0,1)</f>
        <v>1</v>
      </c>
      <c r="D8" s="72" t="n">
        <f aca="true">IFERROR(INDEX(INDIRECT(D3&amp;"Table"),MATCH(D4,INDIRECT(D3&amp;"Table"&amp;"[Name]"),0),COLUMN(INDIRECT(D3&amp;"Table"&amp;"["&amp;B8&amp;"]"))),0)</f>
        <v>0</v>
      </c>
      <c r="E8" s="72" t="n">
        <f aca="true">IFERROR(INDEX(INDIRECT(E3&amp;"Table"),MATCH(E4,INDIRECT(E3&amp;"Table"&amp;"[Name]"),0),COLUMN(INDIRECT(E3&amp;"Table"&amp;"["&amp;B8&amp;"]"))),0)</f>
        <v>0</v>
      </c>
      <c r="F8" s="72" t="n">
        <f aca="true">IFERROR(INDEX(INDIRECT(F3&amp;"Table"),MATCH(F4,INDIRECT(F3&amp;"Table"&amp;"[Name]"),0),COLUMN(INDIRECT(F3&amp;"Table"&amp;"["&amp;B8&amp;"]"))),0)</f>
        <v>0</v>
      </c>
      <c r="G8" s="72" t="n">
        <f aca="true">IFERROR(INDEX(INDIRECT(G3&amp;"Table"),MATCH(G4,INDIRECT(G3&amp;"Table"&amp;"[Name]"),0),COLUMN(INDIRECT(G3&amp;"Table"&amp;"["&amp;B8&amp;"]"))),0)</f>
        <v>0</v>
      </c>
      <c r="H8" s="72" t="n">
        <f aca="true">IFERROR(INDEX(INDIRECT(H3&amp;"Table"),MATCH(H4,INDIRECT(H3&amp;"Table"&amp;"[Name]"),0),COLUMN(INDIRECT(H3&amp;"Table"&amp;"["&amp;B8&amp;"]"))),0)</f>
        <v>0</v>
      </c>
      <c r="I8" s="45"/>
      <c r="J8" s="14" t="s">
        <v>271</v>
      </c>
      <c r="K8" s="14"/>
      <c r="L8" s="103" t="n">
        <v>0</v>
      </c>
      <c r="M8" s="45"/>
      <c r="N8" s="61" t="s">
        <v>383</v>
      </c>
      <c r="O8" s="61"/>
      <c r="P8" s="72" t="n">
        <f aca="false">(P4*2)/P7</f>
        <v>3.62506473329881</v>
      </c>
      <c r="Q8" s="61"/>
      <c r="R8" s="61"/>
      <c r="S8" s="45"/>
      <c r="T8" s="45"/>
      <c r="U8" s="45"/>
    </row>
    <row r="9" customFormat="false" ht="14.4" hidden="false" customHeight="false" outlineLevel="0" collapsed="false">
      <c r="A9" s="1"/>
      <c r="B9" s="20" t="s">
        <v>173</v>
      </c>
      <c r="C9" s="72" t="n">
        <v>0</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0</v>
      </c>
      <c r="G9" s="72" t="n">
        <f aca="true">IFERROR(INDEX(INDIRECT(G3&amp;"Table"),MATCH(G4,INDIRECT(G3&amp;"Table"&amp;"[Name]"),0),COLUMN(INDIRECT(G3&amp;"Table"&amp;"["&amp;B9&amp;"]"))),0)*IF(C7=0,0,1)</f>
        <v>130</v>
      </c>
      <c r="H9" s="72" t="n">
        <f aca="true">IFERROR(INDEX(INDIRECT(H3&amp;"Table"),MATCH(H4,INDIRECT(H3&amp;"Table"&amp;"[Name]"),0),COLUMN(INDIRECT(H3&amp;"Table"&amp;"["&amp;B9&amp;"]"))),0)*IF(C8=0,0,1)</f>
        <v>130</v>
      </c>
      <c r="I9" s="45"/>
      <c r="J9" s="14" t="s">
        <v>384</v>
      </c>
      <c r="K9" s="14"/>
      <c r="L9" s="104" t="n">
        <v>2</v>
      </c>
      <c r="M9" s="45"/>
      <c r="N9" s="61" t="s">
        <v>385</v>
      </c>
      <c r="O9" s="61"/>
      <c r="P9" s="72" t="n">
        <f aca="false">$P$8/$P$5</f>
        <v>2.19448394259708</v>
      </c>
      <c r="Q9" s="61"/>
      <c r="R9" s="61"/>
      <c r="S9" s="45"/>
      <c r="T9" s="45"/>
      <c r="U9" s="45"/>
    </row>
    <row r="10" customFormat="false" ht="14.4" hidden="false" customHeight="false" outlineLevel="0" collapsed="false">
      <c r="A10" s="1"/>
      <c r="B10" s="20" t="s">
        <v>179</v>
      </c>
      <c r="C10" s="72" t="n">
        <v>0</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0</v>
      </c>
      <c r="I10" s="45"/>
      <c r="J10" s="14" t="s">
        <v>79</v>
      </c>
      <c r="K10" s="14"/>
      <c r="L10" s="103" t="n">
        <v>1</v>
      </c>
      <c r="M10" s="45"/>
      <c r="N10" s="61"/>
      <c r="O10" s="61"/>
      <c r="P10" s="61"/>
      <c r="Q10" s="61"/>
      <c r="R10" s="61"/>
      <c r="S10" s="45"/>
      <c r="T10" s="45"/>
      <c r="U10" s="45"/>
    </row>
    <row r="11" customFormat="false" ht="14.4" hidden="false" customHeight="false" outlineLevel="0" collapsed="false">
      <c r="A11" s="1"/>
      <c r="B11" s="20" t="s">
        <v>184</v>
      </c>
      <c r="C11" s="72" t="n">
        <v>0</v>
      </c>
      <c r="D11" s="72" t="n">
        <f aca="true">IFERROR(INDEX(INDIRECT(D3&amp;"Table"),MATCH(D4,INDIRECT(D3&amp;"Table"&amp;"[Name]"),0),COLUMN(INDIRECT(D3&amp;"Table"&amp;"["&amp;B11&amp;"]"))),0)</f>
        <v>0</v>
      </c>
      <c r="E11" s="72" t="n">
        <f aca="true">IFERROR(INDEX(INDIRECT(E3&amp;"Table"),MATCH(E4,INDIRECT(E3&amp;"Table"&amp;"[Name]"),0),COLUMN(INDIRECT(E3&amp;"Table"&amp;"["&amp;B11&amp;"]"))),0)</f>
        <v>0</v>
      </c>
      <c r="F11" s="72" t="n">
        <f aca="true">IFERROR(INDEX(INDIRECT(F3&amp;"Table"),MATCH(F4,INDIRECT(F3&amp;"Table"&amp;"[Name]"),0),COLUMN(INDIRECT(F3&amp;"Table"&amp;"["&amp;B11&amp;"]"))),0)</f>
        <v>0</v>
      </c>
      <c r="G11" s="72" t="n">
        <f aca="true">IFERROR(INDEX(INDIRECT(G3&amp;"Table"),MATCH(G4,INDIRECT(G3&amp;"Table"&amp;"[Name]"),0),COLUMN(INDIRECT(G3&amp;"Table"&amp;"["&amp;B11&amp;"]"))),0)*IF(C7=0,0,1)</f>
        <v>1.36</v>
      </c>
      <c r="H11" s="72" t="n">
        <f aca="true">IFERROR(INDEX(INDIRECT(H3&amp;"Table"),MATCH(H4,INDIRECT(H3&amp;"Table"&amp;"[Name]"),0),COLUMN(INDIRECT(H3&amp;"Table"&amp;"["&amp;B11&amp;"]"))),0)*IF(C8=0,0,1)</f>
        <v>1.36</v>
      </c>
      <c r="I11" s="45"/>
      <c r="J11" s="14" t="s">
        <v>386</v>
      </c>
      <c r="K11" s="14"/>
      <c r="L11" s="103" t="n">
        <v>1</v>
      </c>
      <c r="M11" s="45"/>
      <c r="N11" s="61" t="s">
        <v>328</v>
      </c>
      <c r="O11" s="61"/>
      <c r="P11" s="141" t="n">
        <f aca="false">FLOOR(P9,1)*R3</f>
        <v>16180.19</v>
      </c>
      <c r="Q11" s="61"/>
      <c r="R11" s="61"/>
      <c r="S11" s="45"/>
      <c r="T11" s="45"/>
      <c r="U11" s="45"/>
    </row>
    <row r="12" customFormat="false" ht="14.4" hidden="false" customHeight="false" outlineLevel="0" collapsed="false">
      <c r="A12" s="1"/>
      <c r="B12" s="20" t="s">
        <v>387</v>
      </c>
      <c r="C12" s="72"/>
      <c r="D12" s="72"/>
      <c r="E12" s="72"/>
      <c r="F12" s="72"/>
      <c r="G12" s="72" t="n">
        <f aca="true">IFERROR(INDEX(INDIRECT(G3&amp;"Table"),MATCH(G4,INDIRECT(G3&amp;"Table"&amp;"[Name]"),0),COLUMN(INDIRECT(G3&amp;"Table"&amp;"["&amp;B12&amp;"]"))),0)*IF(C7=0,0,1)</f>
        <v>35</v>
      </c>
      <c r="H12" s="72" t="n">
        <f aca="true">IFERROR(INDEX(INDIRECT(H3&amp;"Table"),MATCH(H4,INDIRECT(H3&amp;"Table"&amp;"[Name]"),0),COLUMN(INDIRECT(H3&amp;"Table"&amp;"["&amp;B12&amp;"]"))),0)*IF(C8=0,0,1)</f>
        <v>35</v>
      </c>
      <c r="I12" s="45"/>
      <c r="J12" s="61" t="s">
        <v>388</v>
      </c>
      <c r="K12" s="76"/>
      <c r="L12" s="72" t="n">
        <f aca="false">((100+C13*L10)/100)*C7*G9*L9*L11*IF(B2="None",0,1)</f>
        <v>1409.2</v>
      </c>
      <c r="M12" s="45"/>
      <c r="N12" s="61" t="s">
        <v>389</v>
      </c>
      <c r="O12" s="61"/>
      <c r="P12" s="141" t="n">
        <f aca="false">P11/P8</f>
        <v>4463.42098428571</v>
      </c>
      <c r="Q12" s="61"/>
      <c r="R12" s="61"/>
      <c r="S12" s="45"/>
      <c r="T12" s="45"/>
      <c r="U12" s="45"/>
    </row>
    <row r="13" customFormat="false" ht="14.4" hidden="false" customHeight="false" outlineLevel="0" collapsed="false">
      <c r="A13" s="1"/>
      <c r="B13" s="20" t="s">
        <v>199</v>
      </c>
      <c r="C13" s="72" t="n">
        <f aca="false">SUM(C5:H5)</f>
        <v>442</v>
      </c>
      <c r="D13" s="72" t="s">
        <v>390</v>
      </c>
      <c r="E13" s="72" t="n">
        <f aca="false">COUNTIF(G12:H12,"&gt;0")*IF(B2="None",0,1)*L9</f>
        <v>4</v>
      </c>
      <c r="F13" s="72"/>
      <c r="G13" s="72"/>
      <c r="H13" s="72"/>
      <c r="I13" s="45"/>
      <c r="J13" s="61" t="s">
        <v>391</v>
      </c>
      <c r="K13" s="76"/>
      <c r="L13" s="72" t="n">
        <f aca="false">((100+C13*L10)/100)*C8*H9*L9*L11*IF(B2="None",0,1)</f>
        <v>1409.2</v>
      </c>
      <c r="M13" s="45"/>
      <c r="N13" s="61"/>
      <c r="O13" s="61"/>
      <c r="P13" s="61"/>
      <c r="Q13" s="61"/>
      <c r="R13" s="61"/>
      <c r="S13" s="45"/>
      <c r="T13" s="45"/>
      <c r="U13" s="45"/>
    </row>
    <row r="14" customFormat="false" ht="14.4" hidden="false" customHeight="false" outlineLevel="0" collapsed="false">
      <c r="A14" s="1"/>
      <c r="B14" s="20"/>
      <c r="C14" s="72"/>
      <c r="D14" s="72"/>
      <c r="E14" s="72"/>
      <c r="F14" s="72"/>
      <c r="G14" s="72"/>
      <c r="H14" s="72"/>
      <c r="I14" s="45"/>
      <c r="J14" s="72"/>
      <c r="K14" s="72"/>
      <c r="L14" s="72"/>
      <c r="M14" s="45"/>
      <c r="N14" s="61"/>
      <c r="O14" s="61"/>
      <c r="P14" s="61"/>
      <c r="Q14" s="61"/>
      <c r="R14" s="61"/>
      <c r="S14" s="45"/>
      <c r="T14" s="45"/>
      <c r="U14" s="45"/>
    </row>
    <row r="15" customFormat="false" ht="14.4" hidden="false" customHeight="false" outlineLevel="0" collapsed="false">
      <c r="A15" s="1"/>
      <c r="B15" s="45"/>
      <c r="C15" s="45"/>
      <c r="D15" s="45"/>
      <c r="E15" s="45"/>
      <c r="F15" s="45"/>
      <c r="G15" s="45"/>
      <c r="H15" s="45"/>
      <c r="I15" s="45"/>
      <c r="J15" s="45"/>
      <c r="K15" s="45"/>
      <c r="L15" s="45"/>
      <c r="M15" s="45"/>
      <c r="N15" s="45"/>
      <c r="O15" s="45"/>
      <c r="P15" s="45"/>
      <c r="Q15" s="45"/>
      <c r="R15" s="45"/>
      <c r="S15" s="45"/>
      <c r="T15" s="45"/>
      <c r="U15" s="45"/>
    </row>
    <row r="16" customFormat="false" ht="14.4" hidden="false" customHeight="false" outlineLevel="0" collapsed="false">
      <c r="A16" s="1"/>
      <c r="B16" s="56" t="s">
        <v>121</v>
      </c>
      <c r="C16" s="15" t="s">
        <v>392</v>
      </c>
      <c r="D16" s="57" t="s">
        <v>116</v>
      </c>
      <c r="E16" s="57" t="s">
        <v>117</v>
      </c>
      <c r="F16" s="57" t="s">
        <v>365</v>
      </c>
      <c r="G16" s="57" t="s">
        <v>366</v>
      </c>
      <c r="H16" s="57" t="s">
        <v>367</v>
      </c>
      <c r="I16" s="45"/>
      <c r="J16" s="34" t="s">
        <v>368</v>
      </c>
      <c r="K16" s="34"/>
      <c r="L16" s="34"/>
      <c r="M16" s="142"/>
      <c r="N16" s="61" t="s">
        <v>369</v>
      </c>
      <c r="O16" s="61"/>
      <c r="P16" s="72" t="n">
        <f aca="false">SUM($G$12:$H$12)*$L$9+SUM($G$26:$H$26)*$L$23+SUM($G$40:$H$40)*$L$37+SUM($G$54:$H$54)*$L$51+SUM($G$68:$H$68)*$L$65+SUM($G$82:$H$82)*$L$79</f>
        <v>315</v>
      </c>
      <c r="Q16" s="61" t="s">
        <v>370</v>
      </c>
      <c r="R16" s="72" t="n">
        <f aca="false">$J$88</f>
        <v>1</v>
      </c>
      <c r="S16" s="45"/>
      <c r="T16" s="45"/>
      <c r="U16" s="45"/>
    </row>
    <row r="17" customFormat="false" ht="14.4" hidden="false" customHeight="false" outlineLevel="0" collapsed="false">
      <c r="A17" s="1"/>
      <c r="B17" s="20" t="s">
        <v>96</v>
      </c>
      <c r="C17" s="60" t="str">
        <f aca="false">IFERROR(INDEX(SType[],MATCH(C18,SType[Ship],0),COLUMN(SType[Type])),0)</f>
        <v>LightCruiser</v>
      </c>
      <c r="D17" s="56" t="s">
        <v>247</v>
      </c>
      <c r="E17" s="56" t="s">
        <v>247</v>
      </c>
      <c r="F17" s="56" t="s">
        <v>120</v>
      </c>
      <c r="G17" s="56" t="s">
        <v>50</v>
      </c>
      <c r="H17" s="56" t="s">
        <v>50</v>
      </c>
      <c r="I17" s="45"/>
      <c r="J17" s="61" t="s">
        <v>195</v>
      </c>
      <c r="K17" s="62"/>
      <c r="L17" s="72" t="n">
        <f aca="false">SQRT(200/(100+(1+L22)*SUM(C20:H20)))*IF(B16="None",0,1)</f>
        <v>0.803219328902499</v>
      </c>
      <c r="M17" s="45"/>
      <c r="N17" s="61" t="s">
        <v>371</v>
      </c>
      <c r="O17" s="61"/>
      <c r="P17" s="72" t="n">
        <f aca="false">SUM($E$13,$E$27,$E$41,$E$69,$E$83,$E$55)</f>
        <v>9</v>
      </c>
      <c r="Q17" s="61" t="s">
        <v>372</v>
      </c>
      <c r="R17" s="72" t="n">
        <f aca="false">SUM($L$12,$L$13,$L$26,$L$27,$L$40,$L$41,$L$54,$L$55,$L$68,$L$69,$L$82,$L$83)*$R$2</f>
        <v>8090.095</v>
      </c>
      <c r="S17" s="45"/>
      <c r="T17" s="45"/>
      <c r="U17" s="45"/>
    </row>
    <row r="18" customFormat="false" ht="14.4" hidden="false" customHeight="false" outlineLevel="0" collapsed="false">
      <c r="A18" s="1"/>
      <c r="B18" s="20" t="s">
        <v>97</v>
      </c>
      <c r="C18" s="60" t="str">
        <f aca="false">IFERROR(INDEX(Base[],MATCH(C16,Base[Akashi],0),COLUMN(Base[AR])),0)</f>
        <v>CL</v>
      </c>
      <c r="D18" s="15" t="s">
        <v>36</v>
      </c>
      <c r="E18" s="15" t="s">
        <v>373</v>
      </c>
      <c r="F18" s="15" t="s">
        <v>373</v>
      </c>
      <c r="G18" s="15" t="s">
        <v>374</v>
      </c>
      <c r="H18" s="15" t="s">
        <v>374</v>
      </c>
      <c r="I18" s="45"/>
      <c r="J18" s="61" t="s">
        <v>375</v>
      </c>
      <c r="K18" s="62"/>
      <c r="L18" s="72" t="n">
        <f aca="false">G25*L17*IF(B16="None",0,1)</f>
        <v>1.0923782873074</v>
      </c>
      <c r="M18" s="45"/>
      <c r="N18" s="61" t="s">
        <v>376</v>
      </c>
      <c r="O18" s="61"/>
      <c r="P18" s="72" t="n">
        <f aca="false">P16/P17</f>
        <v>35</v>
      </c>
      <c r="Q18" s="61" t="s">
        <v>377</v>
      </c>
      <c r="R18" s="72" t="n">
        <f aca="false">R17/P19</f>
        <v>4897.45283953293</v>
      </c>
      <c r="S18" s="45"/>
      <c r="T18" s="45"/>
      <c r="U18" s="45"/>
    </row>
    <row r="19" customFormat="false" ht="14.4" hidden="false" customHeight="false" outlineLevel="0" collapsed="false">
      <c r="A19" s="1"/>
      <c r="B19" s="20" t="s">
        <v>50</v>
      </c>
      <c r="C19" s="72" t="n">
        <f aca="true">IFERROR(INDEX(INDIRECT(C17&amp;"Table"),MATCH(C16,INDIRECT(C17&amp;"Table"&amp;"[Name]"),0),COLUMN(INDIRECT(C17&amp;"Table"&amp;"["&amp;B19&amp;"]"))),0)*IF(B16="None",0,1)</f>
        <v>559</v>
      </c>
      <c r="D19" s="72" t="n">
        <f aca="true">IFERROR(INDEX(INDIRECT(D17&amp;"Table"),MATCH(D18,INDIRECT(D17&amp;"Table"&amp;"[Name]"),0),COLUMN(INDIRECT(D17&amp;"Table"&amp;"["&amp;B19&amp;"]"))),0)</f>
        <v>0</v>
      </c>
      <c r="E19" s="72" t="n">
        <f aca="true">IFERROR(INDEX(INDIRECT(E17&amp;"Table"),MATCH(E18,INDIRECT(E17&amp;"Table"&amp;"[Name]"),0),COLUMN(INDIRECT(E17&amp;"Table"&amp;"["&amp;$B$5&amp;"]"))),0)</f>
        <v>0</v>
      </c>
      <c r="F19" s="72" t="n">
        <f aca="true">IFERROR(INDEX(INDIRECT(F17&amp;"Table"),MATCH(F18,INDIRECT(F17&amp;"Table"&amp;"[Name]"),0),COLUMN(INDIRECT(F17&amp;"Table"&amp;"["&amp;B19&amp;"]"))),0)</f>
        <v>100</v>
      </c>
      <c r="G19" s="72" t="n">
        <f aca="true">IFERROR(INDEX(INDIRECT(G17&amp;"Table"),MATCH(G18,INDIRECT(G17&amp;"Table"&amp;"[Name]"),0),COLUMN(INDIRECT(G17&amp;"Table"&amp;"["&amp;B19&amp;"]"))),0)*IF(C21=0,0,1)</f>
        <v>45</v>
      </c>
      <c r="H19" s="72" t="n">
        <f aca="true">IFERROR(INDEX(INDIRECT(H17&amp;"Table"),MATCH(H18,INDIRECT(H17&amp;"Table"&amp;"[Name]"),0),COLUMN(INDIRECT(H17&amp;"Table"&amp;"["&amp;B19&amp;"]"))),0)*IF(C22=0,0,1)</f>
        <v>0</v>
      </c>
      <c r="I19" s="45"/>
      <c r="J19" s="61" t="s">
        <v>378</v>
      </c>
      <c r="K19" s="76"/>
      <c r="L19" s="72" t="n">
        <f aca="false">H25*L17*IF(B16="None",0,1)</f>
        <v>0</v>
      </c>
      <c r="M19" s="45"/>
      <c r="N19" s="61" t="s">
        <v>379</v>
      </c>
      <c r="O19" s="61"/>
      <c r="P19" s="72" t="n">
        <f aca="false">(SUM($L$4,$L$5)*$L$9+SUM($L$18,$L$19)*$L$23+SUM($L$32,$L$33)*$L$37+SUM($L$46,$L$47)*$L$51+SUM($L$60,$L$61)*$L$65+SUM($L$74,$L$75)*$L$79)/P17+0.5</f>
        <v>1.65189850011329</v>
      </c>
      <c r="Q19" s="61"/>
      <c r="R19" s="61"/>
      <c r="S19" s="45"/>
      <c r="T19" s="45"/>
      <c r="U19" s="45"/>
    </row>
    <row r="20" customFormat="false" ht="14.4" hidden="false" customHeight="false" outlineLevel="0" collapsed="false">
      <c r="A20" s="1"/>
      <c r="B20" s="20" t="s">
        <v>100</v>
      </c>
      <c r="C20" s="72" t="n">
        <f aca="true">IFERROR(INDEX(INDIRECT(C17&amp;"Table"),MATCH(C16,INDIRECT(C17&amp;"Table"&amp;"[Name]"),0),COLUMN(INDIRECT(C17&amp;"Table"&amp;"["&amp;B20&amp;"]"))),0)*IF(B16="None",0,1)</f>
        <v>210</v>
      </c>
      <c r="D20" s="72" t="n">
        <f aca="true">IFERROR(INDEX(INDIRECT(D17&amp;"Table"),MATCH(D18,INDIRECT(D17&amp;"Table"&amp;"[Name]"),0),COLUMN(INDIRECT(D17&amp;"Table"&amp;"["&amp;B20&amp;"]"))),0)</f>
        <v>0</v>
      </c>
      <c r="E20" s="72" t="n">
        <f aca="true">IFERROR(INDEX(INDIRECT(E17&amp;"Table"),MATCH(E18,INDIRECT(E17&amp;"Table"&amp;"[Name]"),0),COLUMN(INDIRECT(E17&amp;"Table"&amp;"["&amp;B20&amp;"]"))),0)</f>
        <v>0</v>
      </c>
      <c r="F20" s="72" t="n">
        <f aca="true">IFERROR(INDEX(INDIRECT(F17&amp;"Table"),MATCH($F$4,INDIRECT(F17&amp;"Table"&amp;"[Name]"),0),COLUMN(INDIRECT(F17&amp;"Table"&amp;"["&amp;B20&amp;"]"))),0)</f>
        <v>0</v>
      </c>
      <c r="G20" s="72" t="n">
        <f aca="true">IFERROR(INDEX(INDIRECT(G17&amp;"Table"),MATCH(G18,INDIRECT(G17&amp;"Table"&amp;"[Name]"),0),COLUMN(INDIRECT(G17&amp;"Table"&amp;"["&amp;B20&amp;"]"))),0)</f>
        <v>0</v>
      </c>
      <c r="H20" s="72" t="n">
        <f aca="true">IFERROR(INDEX(INDIRECT(H17&amp;"Table"),MATCH(H18,INDIRECT(H17&amp;"Table"&amp;"[Name]"),0),COLUMN(INDIRECT(H17&amp;"Table"&amp;"["&amp;B20&amp;"]"))),0)</f>
        <v>0</v>
      </c>
      <c r="I20" s="45"/>
      <c r="J20" s="61"/>
      <c r="K20" s="72"/>
      <c r="L20" s="72"/>
      <c r="M20" s="45"/>
      <c r="N20" s="61"/>
      <c r="O20" s="61"/>
      <c r="P20" s="61"/>
      <c r="Q20" s="61"/>
      <c r="R20" s="61"/>
      <c r="S20" s="45"/>
      <c r="T20" s="45"/>
      <c r="U20" s="45"/>
    </row>
    <row r="21" customFormat="false" ht="14.4" hidden="false" customHeight="false" outlineLevel="0" collapsed="false">
      <c r="A21" s="1"/>
      <c r="B21" s="20" t="s">
        <v>380</v>
      </c>
      <c r="C21" s="72" t="n">
        <f aca="true">IFERROR(INDEX(INDIRECT(C17&amp;"Table"),MATCH(C16,INDIRECT(C17&amp;"Table"&amp;"[Name]"),0),COLUMN(INDIRECT(C17&amp;"Table"&amp;"["&amp;B21&amp;"]"))),0)*IF(B16="None",0,1)</f>
        <v>1.85</v>
      </c>
      <c r="D21" s="72" t="n">
        <f aca="true">IFERROR(INDEX(INDIRECT(D17&amp;"Table"),MATCH(D18,INDIRECT(D17&amp;"Table"&amp;"[Name]"),0),COLUMN(INDIRECT(D17&amp;"Table"&amp;"["&amp;B21&amp;"]"))),0)</f>
        <v>0</v>
      </c>
      <c r="E21" s="72" t="n">
        <f aca="true">IFERROR(INDEX(INDIRECT(E17&amp;"Table"),MATCH(E18,INDIRECT(E17&amp;"Table"&amp;"[Name]"),0),COLUMN(INDIRECT(E17&amp;"Table"&amp;"["&amp;B21&amp;"]"))),0)</f>
        <v>0</v>
      </c>
      <c r="F21" s="72" t="n">
        <f aca="true">IFERROR(INDEX(INDIRECT(F17&amp;"Table"),MATCH(F18,INDIRECT(F17&amp;"Table"&amp;"[Name]"),0),COLUMN(INDIRECT(F17&amp;"Table"&amp;"["&amp;B21&amp;"]"))),0)</f>
        <v>0</v>
      </c>
      <c r="G21" s="72" t="n">
        <f aca="true">IFERROR(INDEX(INDIRECT(G17&amp;"Table"),MATCH(G18,INDIRECT(G17&amp;"Table"&amp;"[Name]"),0),COLUMN(INDIRECT(G17&amp;"Table"&amp;"["&amp;B21&amp;"]"))),0)</f>
        <v>0</v>
      </c>
      <c r="H21" s="72" t="n">
        <f aca="true">IFERROR(INDEX(INDIRECT(H17&amp;"Table"),MATCH(H18,INDIRECT(H17&amp;"Table"&amp;"[Name]"),0),COLUMN(INDIRECT(H17&amp;"Table"&amp;"["&amp;B21&amp;"]"))),0)</f>
        <v>0</v>
      </c>
      <c r="I21" s="45"/>
      <c r="J21" s="61"/>
      <c r="K21" s="72"/>
      <c r="L21" s="72"/>
      <c r="M21" s="45"/>
      <c r="N21" s="61" t="s">
        <v>381</v>
      </c>
      <c r="O21" s="61"/>
      <c r="P21" s="72" t="n">
        <v>19.31</v>
      </c>
      <c r="Q21" s="61"/>
      <c r="R21" s="61"/>
      <c r="S21" s="45"/>
      <c r="T21" s="45"/>
      <c r="U21" s="45"/>
    </row>
    <row r="22" customFormat="false" ht="14.4" hidden="false" customHeight="false" outlineLevel="0" collapsed="false">
      <c r="A22" s="1"/>
      <c r="B22" s="20" t="s">
        <v>382</v>
      </c>
      <c r="C22" s="72" t="n">
        <f aca="true">IFERROR(INDEX(INDIRECT(C17&amp;"Table"),MATCH(C16,INDIRECT(C17&amp;"Table"&amp;"[Name]"),0),COLUMN(INDIRECT(C17&amp;"Table"&amp;"["&amp;B22&amp;"]"))),0)*IF(B16="None",0,1)</f>
        <v>0</v>
      </c>
      <c r="D22" s="72" t="n">
        <f aca="true">IFERROR(INDEX(INDIRECT(D17&amp;"Table"),MATCH(D18,INDIRECT(D17&amp;"Table"&amp;"[Name]"),0),COLUMN(INDIRECT(D17&amp;"Table"&amp;"["&amp;B22&amp;"]"))),0)</f>
        <v>0</v>
      </c>
      <c r="E22" s="72" t="n">
        <f aca="true">IFERROR(INDEX(INDIRECT(E17&amp;"Table"),MATCH(E18,INDIRECT(E17&amp;"Table"&amp;"[Name]"),0),COLUMN(INDIRECT(E17&amp;"Table"&amp;"["&amp;B22&amp;"]"))),0)</f>
        <v>0</v>
      </c>
      <c r="F22" s="72" t="n">
        <f aca="true">IFERROR(INDEX(INDIRECT(F17&amp;"Table"),MATCH(F18,INDIRECT(F17&amp;"Table"&amp;"[Name]"),0),COLUMN(INDIRECT(F17&amp;"Table"&amp;"["&amp;B22&amp;"]"))),0)</f>
        <v>0</v>
      </c>
      <c r="G22" s="72" t="n">
        <f aca="true">IFERROR(INDEX(INDIRECT(G17&amp;"Table"),MATCH(G18,INDIRECT(G17&amp;"Table"&amp;"[Name]"),0),COLUMN(INDIRECT(G17&amp;"Table"&amp;"["&amp;B22&amp;"]"))),0)</f>
        <v>0</v>
      </c>
      <c r="H22" s="72" t="n">
        <f aca="true">IFERROR(INDEX(INDIRECT(H17&amp;"Table"),MATCH(H18,INDIRECT(H17&amp;"Table"&amp;"[Name]"),0),COLUMN(INDIRECT(H17&amp;"Table"&amp;"["&amp;B22&amp;"]"))),0)</f>
        <v>0</v>
      </c>
      <c r="I22" s="45"/>
      <c r="J22" s="14" t="s">
        <v>271</v>
      </c>
      <c r="K22" s="14"/>
      <c r="L22" s="103" t="n">
        <v>0</v>
      </c>
      <c r="M22" s="45"/>
      <c r="N22" s="61" t="s">
        <v>383</v>
      </c>
      <c r="O22" s="61"/>
      <c r="P22" s="72" t="n">
        <f aca="false">(P18*2)/P21</f>
        <v>3.62506473329881</v>
      </c>
      <c r="Q22" s="61"/>
      <c r="R22" s="61"/>
      <c r="S22" s="45"/>
      <c r="T22" s="45"/>
      <c r="U22" s="45"/>
    </row>
    <row r="23" customFormat="false" ht="14.4" hidden="false" customHeight="false" outlineLevel="0" collapsed="false">
      <c r="A23" s="1"/>
      <c r="B23" s="20" t="s">
        <v>173</v>
      </c>
      <c r="C23" s="72" t="n">
        <v>0</v>
      </c>
      <c r="D23" s="72" t="n">
        <f aca="true">IFERROR(INDEX(INDIRECT(D17&amp;"Table"),MATCH(D18,INDIRECT(D17&amp;"Table"&amp;"[Name]"),0),COLUMN(INDIRECT(D17&amp;"Table"&amp;"["&amp;B23&amp;"]"))),0)</f>
        <v>0</v>
      </c>
      <c r="E23" s="72" t="n">
        <f aca="true">IFERROR(INDEX(INDIRECT(E17&amp;"Table"),MATCH(E18,INDIRECT(E17&amp;"Table"&amp;"[Name]"),0),COLUMN(INDIRECT(E17&amp;"Table"&amp;"["&amp;B23&amp;"]"))),0)</f>
        <v>0</v>
      </c>
      <c r="F23" s="72" t="n">
        <f aca="true">IFERROR(INDEX(INDIRECT(F17&amp;"Table"),MATCH(F18,INDIRECT(F17&amp;"Table"&amp;"[Name]"),0),COLUMN(INDIRECT(F17&amp;"Table"&amp;"["&amp;B23&amp;"]"))),0)</f>
        <v>0</v>
      </c>
      <c r="G23" s="72" t="n">
        <f aca="true">IFERROR(INDEX(INDIRECT(G17&amp;"Table"),MATCH(G18,INDIRECT(G17&amp;"Table"&amp;"[Name]"),0),COLUMN(INDIRECT(G17&amp;"Table"&amp;"["&amp;B23&amp;"]"))),0)*IF(C21=0,0,1)</f>
        <v>130</v>
      </c>
      <c r="H23" s="72" t="n">
        <f aca="true">IFERROR(INDEX(INDIRECT(H17&amp;"Table"),MATCH(H18,INDIRECT(H17&amp;"Table"&amp;"[Name]"),0),COLUMN(INDIRECT(H17&amp;"Table"&amp;"["&amp;B23&amp;"]"))),0)*IF(C22=0,0,1)</f>
        <v>0</v>
      </c>
      <c r="I23" s="45"/>
      <c r="J23" s="14" t="s">
        <v>384</v>
      </c>
      <c r="K23" s="14"/>
      <c r="L23" s="104" t="n">
        <v>1</v>
      </c>
      <c r="M23" s="45"/>
      <c r="N23" s="61" t="s">
        <v>385</v>
      </c>
      <c r="O23" s="61"/>
      <c r="P23" s="72" t="n">
        <f aca="false">$P$8/$P$5</f>
        <v>2.19448394259708</v>
      </c>
      <c r="Q23" s="61"/>
      <c r="R23" s="61"/>
      <c r="S23" s="45"/>
      <c r="T23" s="45"/>
      <c r="U23" s="45"/>
    </row>
    <row r="24" customFormat="false" ht="14.4" hidden="false" customHeight="false" outlineLevel="0" collapsed="false">
      <c r="A24" s="1"/>
      <c r="B24" s="20" t="s">
        <v>179</v>
      </c>
      <c r="C24" s="72" t="n">
        <v>0</v>
      </c>
      <c r="D24" s="72" t="n">
        <f aca="true">IFERROR(INDEX(INDIRECT(D17&amp;"Table"),MATCH(D18,INDIRECT(D17&amp;"Table"&amp;"[Name]"),0),COLUMN(INDIRECT(D17&amp;"Table"&amp;"["&amp;B24&amp;"]"))),0)</f>
        <v>0</v>
      </c>
      <c r="E24" s="72" t="n">
        <f aca="true">IFERROR(INDEX(INDIRECT(E17&amp;"Table"),MATCH(E18,INDIRECT(E17&amp;"Table"&amp;"[Name]"),0),COLUMN(INDIRECT(E17&amp;"Table"&amp;"["&amp;B24&amp;"]"))),0)</f>
        <v>0</v>
      </c>
      <c r="F24" s="72" t="n">
        <f aca="true">IFERROR(INDEX(INDIRECT(F17&amp;"Table"),MATCH(F18,INDIRECT(F17&amp;"Table"&amp;"[Name]"),0),COLUMN(INDIRECT(F17&amp;"Table"&amp;"["&amp;B24&amp;"]"))),0)</f>
        <v>0</v>
      </c>
      <c r="G24" s="72" t="n">
        <f aca="true">IFERROR(INDEX(INDIRECT(G17&amp;"Table"),MATCH(G18,INDIRECT(G17&amp;"Table"&amp;"[Name]"),0),COLUMN(INDIRECT(G17&amp;"Table"&amp;"["&amp;B24&amp;"]"))),0)</f>
        <v>0</v>
      </c>
      <c r="H24" s="72" t="n">
        <f aca="true">IFERROR(INDEX(INDIRECT(H17&amp;"Table"),MATCH(H18,INDIRECT(H17&amp;"Table"&amp;"[Name]"),0),COLUMN(INDIRECT(H17&amp;"Table"&amp;"["&amp;B24&amp;"]"))),0)</f>
        <v>0</v>
      </c>
      <c r="I24" s="45"/>
      <c r="J24" s="14" t="s">
        <v>79</v>
      </c>
      <c r="K24" s="14"/>
      <c r="L24" s="103" t="n">
        <v>1</v>
      </c>
      <c r="M24" s="45"/>
      <c r="N24" s="61"/>
      <c r="O24" s="61"/>
      <c r="P24" s="61"/>
      <c r="Q24" s="61"/>
      <c r="R24" s="61"/>
      <c r="S24" s="45"/>
      <c r="T24" s="45"/>
      <c r="U24" s="45"/>
    </row>
    <row r="25" customFormat="false" ht="14.4" hidden="false" customHeight="false" outlineLevel="0" collapsed="false">
      <c r="A25" s="1"/>
      <c r="B25" s="20" t="s">
        <v>184</v>
      </c>
      <c r="C25" s="72" t="n">
        <v>0</v>
      </c>
      <c r="D25" s="72" t="n">
        <f aca="true">IFERROR(INDEX(INDIRECT(D17&amp;"Table"),MATCH(D18,INDIRECT(D17&amp;"Table"&amp;"[Name]"),0),COLUMN(INDIRECT(D17&amp;"Table"&amp;"["&amp;B25&amp;"]"))),0)</f>
        <v>0</v>
      </c>
      <c r="E25" s="72" t="n">
        <f aca="true">IFERROR(INDEX(INDIRECT(E17&amp;"Table"),MATCH(E18,INDIRECT(E17&amp;"Table"&amp;"[Name]"),0),COLUMN(INDIRECT(E17&amp;"Table"&amp;"["&amp;B25&amp;"]"))),0)</f>
        <v>0</v>
      </c>
      <c r="F25" s="72" t="n">
        <f aca="true">IFERROR(INDEX(INDIRECT(F17&amp;"Table"),MATCH(F18,INDIRECT(F17&amp;"Table"&amp;"[Name]"),0),COLUMN(INDIRECT(F17&amp;"Table"&amp;"["&amp;B25&amp;"]"))),0)</f>
        <v>0</v>
      </c>
      <c r="G25" s="72" t="n">
        <f aca="true">IFERROR(INDEX(INDIRECT(G17&amp;"Table"),MATCH(G18,INDIRECT(G17&amp;"Table"&amp;"[Name]"),0),COLUMN(INDIRECT(G17&amp;"Table"&amp;"["&amp;B25&amp;"]"))),0)*IF(C21=0,0,1)</f>
        <v>1.36</v>
      </c>
      <c r="H25" s="72" t="n">
        <f aca="true">IFERROR(INDEX(INDIRECT(H17&amp;"Table"),MATCH(H18,INDIRECT(H17&amp;"Table"&amp;"[Name]"),0),COLUMN(INDIRECT(H17&amp;"Table"&amp;"["&amp;B25&amp;"]"))),0)*IF(C22=0,0,1)</f>
        <v>0</v>
      </c>
      <c r="I25" s="45"/>
      <c r="J25" s="14" t="s">
        <v>386</v>
      </c>
      <c r="K25" s="14"/>
      <c r="L25" s="103" t="n">
        <v>1</v>
      </c>
      <c r="M25" s="45"/>
      <c r="N25" s="61" t="s">
        <v>328</v>
      </c>
      <c r="O25" s="61"/>
      <c r="P25" s="141" t="n">
        <f aca="false">FLOOR(P23,1)*R17</f>
        <v>16180.19</v>
      </c>
      <c r="Q25" s="61"/>
      <c r="R25" s="61"/>
      <c r="S25" s="45"/>
      <c r="T25" s="45"/>
      <c r="U25" s="45"/>
    </row>
    <row r="26" customFormat="false" ht="14.4" hidden="false" customHeight="false" outlineLevel="0" collapsed="false">
      <c r="A26" s="1"/>
      <c r="B26" s="20" t="s">
        <v>387</v>
      </c>
      <c r="C26" s="72"/>
      <c r="D26" s="72"/>
      <c r="E26" s="72"/>
      <c r="F26" s="72"/>
      <c r="G26" s="72" t="n">
        <f aca="true">IFERROR(INDEX(INDIRECT(G17&amp;"Table"),MATCH(G18,INDIRECT(G17&amp;"Table"&amp;"[Name]"),0),COLUMN(INDIRECT(G17&amp;"Table"&amp;"["&amp;B26&amp;"]"))),0)*IF(C21=0,0,1)</f>
        <v>35</v>
      </c>
      <c r="H26" s="72" t="n">
        <f aca="true">IFERROR(INDEX(INDIRECT(H17&amp;"Table"),MATCH(H18,INDIRECT(H17&amp;"Table"&amp;"[Name]"),0),COLUMN(INDIRECT(H17&amp;"Table"&amp;"["&amp;B26&amp;"]"))),0)*IF(C22=0,0,1)</f>
        <v>0</v>
      </c>
      <c r="I26" s="45"/>
      <c r="J26" s="61" t="s">
        <v>388</v>
      </c>
      <c r="K26" s="76"/>
      <c r="L26" s="72" t="n">
        <f aca="false">((100+C27*L24)/100)*C21*G23*L23*L25*IF(B16="None",0,1)</f>
        <v>1933.62</v>
      </c>
      <c r="M26" s="45"/>
      <c r="N26" s="61" t="s">
        <v>389</v>
      </c>
      <c r="O26" s="61"/>
      <c r="P26" s="141" t="n">
        <f aca="false">P25/P22</f>
        <v>4463.42098428571</v>
      </c>
      <c r="Q26" s="61"/>
      <c r="R26" s="61"/>
      <c r="S26" s="45"/>
      <c r="T26" s="45"/>
      <c r="U26" s="45"/>
    </row>
    <row r="27" customFormat="false" ht="14.4" hidden="false" customHeight="false" outlineLevel="0" collapsed="false">
      <c r="A27" s="1"/>
      <c r="B27" s="20" t="s">
        <v>199</v>
      </c>
      <c r="C27" s="72" t="n">
        <f aca="false">SUM(C19:H19)</f>
        <v>704</v>
      </c>
      <c r="D27" s="72" t="s">
        <v>390</v>
      </c>
      <c r="E27" s="72" t="n">
        <f aca="false">COUNTIF(G26:H26,"&gt;0")*IF(B16="None",0,1)*L23</f>
        <v>1</v>
      </c>
      <c r="F27" s="72"/>
      <c r="G27" s="72"/>
      <c r="H27" s="72"/>
      <c r="I27" s="45"/>
      <c r="J27" s="61" t="s">
        <v>391</v>
      </c>
      <c r="K27" s="76"/>
      <c r="L27" s="72" t="n">
        <f aca="false">((100+C27*L24)/100)*C22*H23*L23*L25*IF(B16="None",0,1)</f>
        <v>0</v>
      </c>
      <c r="M27" s="45"/>
      <c r="N27" s="61"/>
      <c r="O27" s="61"/>
      <c r="P27" s="61"/>
      <c r="Q27" s="61"/>
      <c r="R27" s="61"/>
      <c r="S27" s="45"/>
      <c r="T27" s="45"/>
      <c r="U27" s="45"/>
    </row>
    <row r="28" customFormat="false" ht="14.4" hidden="false" customHeight="false" outlineLevel="0" collapsed="false">
      <c r="A28" s="1"/>
      <c r="B28" s="20"/>
      <c r="C28" s="72"/>
      <c r="D28" s="72"/>
      <c r="E28" s="72"/>
      <c r="F28" s="72"/>
      <c r="G28" s="72"/>
      <c r="H28" s="72"/>
      <c r="I28" s="45"/>
      <c r="J28" s="72"/>
      <c r="K28" s="72"/>
      <c r="L28" s="72"/>
      <c r="M28" s="45"/>
      <c r="N28" s="61"/>
      <c r="O28" s="61"/>
      <c r="P28" s="61"/>
      <c r="Q28" s="61"/>
      <c r="R28" s="61"/>
      <c r="S28" s="45"/>
      <c r="T28" s="45"/>
      <c r="U28" s="45"/>
    </row>
    <row r="29" customFormat="false" ht="14.4" hidden="false" customHeight="false" outlineLevel="0" collapsed="false">
      <c r="A29" s="1"/>
      <c r="B29" s="45"/>
      <c r="C29" s="45"/>
      <c r="D29" s="45"/>
      <c r="E29" s="45"/>
      <c r="F29" s="45"/>
      <c r="G29" s="45"/>
      <c r="H29" s="45"/>
      <c r="I29" s="45"/>
      <c r="J29" s="45"/>
      <c r="K29" s="45"/>
      <c r="L29" s="45"/>
      <c r="M29" s="45"/>
      <c r="N29" s="45"/>
      <c r="O29" s="45"/>
      <c r="P29" s="45"/>
      <c r="Q29" s="45"/>
      <c r="R29" s="45"/>
      <c r="S29" s="45"/>
      <c r="T29" s="45"/>
      <c r="U29" s="45"/>
    </row>
    <row r="30" customFormat="false" ht="14.4" hidden="false" customHeight="false" outlineLevel="0" collapsed="false">
      <c r="A30" s="1"/>
      <c r="B30" s="56" t="s">
        <v>114</v>
      </c>
      <c r="C30" s="15" t="s">
        <v>393</v>
      </c>
      <c r="D30" s="57" t="s">
        <v>116</v>
      </c>
      <c r="E30" s="57" t="s">
        <v>117</v>
      </c>
      <c r="F30" s="57" t="s">
        <v>365</v>
      </c>
      <c r="G30" s="57" t="s">
        <v>366</v>
      </c>
      <c r="H30" s="57" t="s">
        <v>367</v>
      </c>
      <c r="I30" s="45"/>
      <c r="J30" s="34" t="s">
        <v>368</v>
      </c>
      <c r="K30" s="34"/>
      <c r="L30" s="34"/>
      <c r="M30" s="140"/>
      <c r="N30" s="61" t="s">
        <v>369</v>
      </c>
      <c r="O30" s="61"/>
      <c r="P30" s="72" t="n">
        <f aca="false">SUM($G$12:$H$12)*$L$9+SUM($G$26:$H$26)*$L$23+SUM($G$40:$H$40)*$L$37+SUM($G$54:$H$54)*$L$51+SUM($G$68:$H$68)*$L$65+SUM($G$82:$H$82)*$L$79</f>
        <v>315</v>
      </c>
      <c r="Q30" s="61" t="s">
        <v>370</v>
      </c>
      <c r="R30" s="72" t="n">
        <f aca="false">$J$88</f>
        <v>1</v>
      </c>
      <c r="S30" s="45"/>
      <c r="T30" s="45"/>
      <c r="U30" s="45"/>
    </row>
    <row r="31" customFormat="false" ht="14.4" hidden="false" customHeight="false" outlineLevel="0" collapsed="false">
      <c r="A31" s="1"/>
      <c r="B31" s="20" t="s">
        <v>96</v>
      </c>
      <c r="C31" s="60" t="str">
        <f aca="false">IFERROR(INDEX(SType[],MATCH(C32,SType[Ship],0),COLUMN(SType[Type])),0)</f>
        <v>Battleship</v>
      </c>
      <c r="D31" s="56" t="s">
        <v>247</v>
      </c>
      <c r="E31" s="56" t="s">
        <v>247</v>
      </c>
      <c r="F31" s="56" t="s">
        <v>120</v>
      </c>
      <c r="G31" s="56" t="s">
        <v>50</v>
      </c>
      <c r="H31" s="56" t="s">
        <v>50</v>
      </c>
      <c r="I31" s="45"/>
      <c r="J31" s="61" t="s">
        <v>195</v>
      </c>
      <c r="K31" s="62"/>
      <c r="L31" s="72" t="n">
        <f aca="false">SQRT(200/(100+(1+L36)*SUM(C34:H34)))*IF(B30="None",0,1)</f>
        <v>0.86386842558136</v>
      </c>
      <c r="M31" s="45"/>
      <c r="N31" s="61" t="s">
        <v>371</v>
      </c>
      <c r="O31" s="61"/>
      <c r="P31" s="72" t="n">
        <f aca="false">SUM($E$13,$E$27,$E$41,$E$69,$E$83,$E$55)</f>
        <v>9</v>
      </c>
      <c r="Q31" s="61" t="s">
        <v>372</v>
      </c>
      <c r="R31" s="72" t="n">
        <f aca="false">SUM($L$12,$L$13,$L$26,$L$27,$L$40,$L$41,$L$54,$L$55,$L$68,$L$69,$L$82,$L$83)*$R$2</f>
        <v>8090.095</v>
      </c>
      <c r="S31" s="45"/>
      <c r="T31" s="45"/>
      <c r="U31" s="45"/>
    </row>
    <row r="32" customFormat="false" ht="14.4" hidden="false" customHeight="false" outlineLevel="0" collapsed="false">
      <c r="A32" s="1"/>
      <c r="B32" s="20" t="s">
        <v>97</v>
      </c>
      <c r="C32" s="60" t="str">
        <f aca="false">IFERROR(INDEX(Base[],MATCH(C30,Base[Akashi],0),COLUMN(Base[AR])),0)</f>
        <v>BB</v>
      </c>
      <c r="D32" s="15" t="s">
        <v>36</v>
      </c>
      <c r="E32" s="15" t="s">
        <v>373</v>
      </c>
      <c r="F32" s="15" t="s">
        <v>373</v>
      </c>
      <c r="G32" s="15" t="s">
        <v>374</v>
      </c>
      <c r="H32" s="15" t="s">
        <v>374</v>
      </c>
      <c r="I32" s="45"/>
      <c r="J32" s="61" t="s">
        <v>375</v>
      </c>
      <c r="K32" s="62"/>
      <c r="L32" s="72" t="n">
        <f aca="false">G39*L31*IF(B30="None",0,1)</f>
        <v>1.17486105879065</v>
      </c>
      <c r="M32" s="45"/>
      <c r="N32" s="61" t="s">
        <v>376</v>
      </c>
      <c r="O32" s="61"/>
      <c r="P32" s="72" t="n">
        <f aca="false">P30/P31</f>
        <v>35</v>
      </c>
      <c r="Q32" s="61" t="s">
        <v>377</v>
      </c>
      <c r="R32" s="72" t="n">
        <f aca="false">R31/P33</f>
        <v>4897.45283953293</v>
      </c>
      <c r="S32" s="45"/>
      <c r="T32" s="45"/>
      <c r="U32" s="45"/>
    </row>
    <row r="33" customFormat="false" ht="14.4" hidden="false" customHeight="false" outlineLevel="0" collapsed="false">
      <c r="A33" s="1"/>
      <c r="B33" s="20" t="s">
        <v>50</v>
      </c>
      <c r="C33" s="72" t="n">
        <f aca="true">IFERROR(INDEX(INDIRECT(C31&amp;"Table"),MATCH(C30,INDIRECT(C31&amp;"Table"&amp;"[Name]"),0),COLUMN(INDIRECT(C31&amp;"Table"&amp;"["&amp;B33&amp;"]"))),0)*IF(B30="None",0,1)</f>
        <v>230</v>
      </c>
      <c r="D33" s="72" t="n">
        <f aca="true">IFERROR(INDEX(INDIRECT(D31&amp;"Table"),MATCH(D32,INDIRECT(D31&amp;"Table"&amp;"[Name]"),0),COLUMN(INDIRECT(D31&amp;"Table"&amp;"["&amp;B33&amp;"]"))),0)</f>
        <v>0</v>
      </c>
      <c r="E33" s="72" t="n">
        <f aca="true">IFERROR(INDEX(INDIRECT(E31&amp;"Table"),MATCH(E32,INDIRECT(E31&amp;"Table"&amp;"[Name]"),0),COLUMN(INDIRECT(E31&amp;"Table"&amp;"["&amp;$B$5&amp;"]"))),0)</f>
        <v>0</v>
      </c>
      <c r="F33" s="72" t="n">
        <f aca="true">IFERROR(INDEX(INDIRECT(F31&amp;"Table"),MATCH(F32,INDIRECT(F31&amp;"Table"&amp;"[Name]"),0),COLUMN(INDIRECT(F31&amp;"Table"&amp;"["&amp;B33&amp;"]"))),0)</f>
        <v>100</v>
      </c>
      <c r="G33" s="72" t="n">
        <f aca="true">IFERROR(INDEX(INDIRECT(G31&amp;"Table"),MATCH(G32,INDIRECT(G31&amp;"Table"&amp;"[Name]"),0),COLUMN(INDIRECT(G31&amp;"Table"&amp;"["&amp;B33&amp;"]"))),0)*IF(C35=0,0,1)</f>
        <v>45</v>
      </c>
      <c r="H33" s="72" t="n">
        <f aca="true">IFERROR(INDEX(INDIRECT(H31&amp;"Table"),MATCH(H32,INDIRECT(H31&amp;"Table"&amp;"[Name]"),0),COLUMN(INDIRECT(H31&amp;"Table"&amp;"["&amp;B33&amp;"]"))),0)*IF(C36=0,0,1)</f>
        <v>0</v>
      </c>
      <c r="I33" s="45"/>
      <c r="J33" s="61" t="s">
        <v>378</v>
      </c>
      <c r="K33" s="76"/>
      <c r="L33" s="72" t="n">
        <f aca="false">H39*L31*IF(B30="None",0,1)</f>
        <v>0</v>
      </c>
      <c r="M33" s="45"/>
      <c r="N33" s="61" t="s">
        <v>379</v>
      </c>
      <c r="O33" s="61"/>
      <c r="P33" s="72" t="n">
        <f aca="false">(SUM($L$4,$L$5)*$L$9+SUM($L$18,$L$19)*$L$23+SUM($L$32,$L$33)*$L$37+SUM($L$46,$L$47)*$L$51+SUM($L$60,$L$61)*$L$65+SUM($L$74,$L$75)*$L$79)/P31+0.5</f>
        <v>1.65189850011329</v>
      </c>
      <c r="Q33" s="61"/>
      <c r="R33" s="61"/>
      <c r="S33" s="45"/>
      <c r="T33" s="45"/>
      <c r="U33" s="45"/>
    </row>
    <row r="34" customFormat="false" ht="14.4" hidden="false" customHeight="false" outlineLevel="0" collapsed="false">
      <c r="A34" s="1"/>
      <c r="B34" s="20" t="s">
        <v>100</v>
      </c>
      <c r="C34" s="72" t="n">
        <f aca="true">IFERROR(INDEX(INDIRECT(C31&amp;"Table"),MATCH(C30,INDIRECT(C31&amp;"Table"&amp;"[Name]"),0),COLUMN(INDIRECT(C31&amp;"Table"&amp;"["&amp;B34&amp;"]"))),0)*IF(B30="None",0,1)</f>
        <v>168</v>
      </c>
      <c r="D34" s="72" t="n">
        <f aca="true">IFERROR(INDEX(INDIRECT(D31&amp;"Table"),MATCH(D32,INDIRECT(D31&amp;"Table"&amp;"[Name]"),0),COLUMN(INDIRECT(D31&amp;"Table"&amp;"["&amp;B34&amp;"]"))),0)</f>
        <v>0</v>
      </c>
      <c r="E34" s="72" t="n">
        <f aca="true">IFERROR(INDEX(INDIRECT(E31&amp;"Table"),MATCH(E32,INDIRECT(E31&amp;"Table"&amp;"[Name]"),0),COLUMN(INDIRECT(E31&amp;"Table"&amp;"["&amp;B34&amp;"]"))),0)</f>
        <v>0</v>
      </c>
      <c r="F34" s="72" t="n">
        <f aca="true">IFERROR(INDEX(INDIRECT(F31&amp;"Table"),MATCH($F$4,INDIRECT(F31&amp;"Table"&amp;"[Name]"),0),COLUMN(INDIRECT(F31&amp;"Table"&amp;"["&amp;B34&amp;"]"))),0)</f>
        <v>0</v>
      </c>
      <c r="G34" s="72" t="n">
        <f aca="true">IFERROR(INDEX(INDIRECT(G31&amp;"Table"),MATCH(G32,INDIRECT(G31&amp;"Table"&amp;"[Name]"),0),COLUMN(INDIRECT(G31&amp;"Table"&amp;"["&amp;B34&amp;"]"))),0)</f>
        <v>0</v>
      </c>
      <c r="H34" s="72" t="n">
        <f aca="true">IFERROR(INDEX(INDIRECT(H31&amp;"Table"),MATCH(H32,INDIRECT(H31&amp;"Table"&amp;"[Name]"),0),COLUMN(INDIRECT(H31&amp;"Table"&amp;"["&amp;B34&amp;"]"))),0)</f>
        <v>0</v>
      </c>
      <c r="I34" s="45"/>
      <c r="J34" s="61"/>
      <c r="K34" s="72"/>
      <c r="L34" s="72"/>
      <c r="M34" s="45"/>
      <c r="N34" s="61"/>
      <c r="O34" s="61"/>
      <c r="P34" s="61"/>
      <c r="Q34" s="61"/>
      <c r="R34" s="61"/>
      <c r="S34" s="45"/>
      <c r="T34" s="45"/>
      <c r="U34" s="45"/>
    </row>
    <row r="35" customFormat="false" ht="14.4" hidden="false" customHeight="false" outlineLevel="0" collapsed="false">
      <c r="A35" s="1"/>
      <c r="B35" s="20" t="s">
        <v>380</v>
      </c>
      <c r="C35" s="72" t="n">
        <f aca="true">IFERROR(INDEX(INDIRECT(C31&amp;"Table"),MATCH(C30,INDIRECT(C31&amp;"Table"&amp;"[Name]"),0),COLUMN(INDIRECT(C31&amp;"Table"&amp;"["&amp;B35&amp;"]"))),0)*IF(B30="None",0,1)</f>
        <v>1.1</v>
      </c>
      <c r="D35" s="72" t="n">
        <f aca="true">IFERROR(INDEX(INDIRECT(D31&amp;"Table"),MATCH(D32,INDIRECT(D31&amp;"Table"&amp;"[Name]"),0),COLUMN(INDIRECT(D31&amp;"Table"&amp;"["&amp;B35&amp;"]"))),0)</f>
        <v>0</v>
      </c>
      <c r="E35" s="72" t="n">
        <f aca="true">IFERROR(INDEX(INDIRECT(E31&amp;"Table"),MATCH(E32,INDIRECT(E31&amp;"Table"&amp;"[Name]"),0),COLUMN(INDIRECT(E31&amp;"Table"&amp;"["&amp;B35&amp;"]"))),0)</f>
        <v>0</v>
      </c>
      <c r="F35" s="72" t="n">
        <f aca="true">IFERROR(INDEX(INDIRECT(F31&amp;"Table"),MATCH(F32,INDIRECT(F31&amp;"Table"&amp;"[Name]"),0),COLUMN(INDIRECT(F31&amp;"Table"&amp;"["&amp;B35&amp;"]"))),0)</f>
        <v>0</v>
      </c>
      <c r="G35" s="72" t="n">
        <f aca="true">IFERROR(INDEX(INDIRECT(G31&amp;"Table"),MATCH(G32,INDIRECT(G31&amp;"Table"&amp;"[Name]"),0),COLUMN(INDIRECT(G31&amp;"Table"&amp;"["&amp;B35&amp;"]"))),0)</f>
        <v>0</v>
      </c>
      <c r="H35" s="72" t="n">
        <f aca="true">IFERROR(INDEX(INDIRECT(H31&amp;"Table"),MATCH(H32,INDIRECT(H31&amp;"Table"&amp;"[Name]"),0),COLUMN(INDIRECT(H31&amp;"Table"&amp;"["&amp;B35&amp;"]"))),0)</f>
        <v>0</v>
      </c>
      <c r="I35" s="45"/>
      <c r="J35" s="61"/>
      <c r="K35" s="72"/>
      <c r="L35" s="72"/>
      <c r="M35" s="45"/>
      <c r="N35" s="61" t="s">
        <v>381</v>
      </c>
      <c r="O35" s="61"/>
      <c r="P35" s="72" t="n">
        <v>19.31</v>
      </c>
      <c r="Q35" s="61"/>
      <c r="R35" s="61"/>
      <c r="S35" s="45"/>
      <c r="T35" s="45"/>
      <c r="U35" s="45"/>
    </row>
    <row r="36" customFormat="false" ht="14.4" hidden="false" customHeight="false" outlineLevel="0" collapsed="false">
      <c r="A36" s="1"/>
      <c r="B36" s="20" t="s">
        <v>382</v>
      </c>
      <c r="C36" s="72" t="n">
        <f aca="true">IFERROR(INDEX(INDIRECT(C31&amp;"Table"),MATCH(C30,INDIRECT(C31&amp;"Table"&amp;"[Name]"),0),COLUMN(INDIRECT(C31&amp;"Table"&amp;"["&amp;B36&amp;"]"))),0)*IF(B30="None",0,1)</f>
        <v>0</v>
      </c>
      <c r="D36" s="72" t="n">
        <f aca="true">IFERROR(INDEX(INDIRECT(D31&amp;"Table"),MATCH(D32,INDIRECT(D31&amp;"Table"&amp;"[Name]"),0),COLUMN(INDIRECT(D31&amp;"Table"&amp;"["&amp;B36&amp;"]"))),0)</f>
        <v>0</v>
      </c>
      <c r="E36" s="72" t="n">
        <f aca="true">IFERROR(INDEX(INDIRECT(E31&amp;"Table"),MATCH(E32,INDIRECT(E31&amp;"Table"&amp;"[Name]"),0),COLUMN(INDIRECT(E31&amp;"Table"&amp;"["&amp;B36&amp;"]"))),0)</f>
        <v>0</v>
      </c>
      <c r="F36" s="72" t="n">
        <f aca="true">IFERROR(INDEX(INDIRECT(F31&amp;"Table"),MATCH(F32,INDIRECT(F31&amp;"Table"&amp;"[Name]"),0),COLUMN(INDIRECT(F31&amp;"Table"&amp;"["&amp;B36&amp;"]"))),0)</f>
        <v>0</v>
      </c>
      <c r="G36" s="72" t="n">
        <f aca="true">IFERROR(INDEX(INDIRECT(G31&amp;"Table"),MATCH(G32,INDIRECT(G31&amp;"Table"&amp;"[Name]"),0),COLUMN(INDIRECT(G31&amp;"Table"&amp;"["&amp;B36&amp;"]"))),0)</f>
        <v>0</v>
      </c>
      <c r="H36" s="72" t="n">
        <f aca="true">IFERROR(INDEX(INDIRECT(H31&amp;"Table"),MATCH(H32,INDIRECT(H31&amp;"Table"&amp;"[Name]"),0),COLUMN(INDIRECT(H31&amp;"Table"&amp;"["&amp;B36&amp;"]"))),0)</f>
        <v>0</v>
      </c>
      <c r="I36" s="45"/>
      <c r="J36" s="14" t="s">
        <v>271</v>
      </c>
      <c r="K36" s="14"/>
      <c r="L36" s="103" t="n">
        <v>0</v>
      </c>
      <c r="M36" s="45"/>
      <c r="N36" s="61" t="s">
        <v>383</v>
      </c>
      <c r="O36" s="61"/>
      <c r="P36" s="72" t="n">
        <f aca="false">(P32*2)/P35</f>
        <v>3.62506473329881</v>
      </c>
      <c r="Q36" s="61"/>
      <c r="R36" s="61"/>
      <c r="S36" s="45"/>
      <c r="T36" s="45"/>
      <c r="U36" s="45"/>
    </row>
    <row r="37" customFormat="false" ht="14.4" hidden="false" customHeight="false" outlineLevel="0" collapsed="false">
      <c r="A37" s="1"/>
      <c r="B37" s="20" t="s">
        <v>173</v>
      </c>
      <c r="C37" s="72" t="n">
        <v>0</v>
      </c>
      <c r="D37" s="72" t="n">
        <f aca="true">IFERROR(INDEX(INDIRECT(D31&amp;"Table"),MATCH(D32,INDIRECT(D31&amp;"Table"&amp;"[Name]"),0),COLUMN(INDIRECT(D31&amp;"Table"&amp;"["&amp;B37&amp;"]"))),0)</f>
        <v>0</v>
      </c>
      <c r="E37" s="72" t="n">
        <f aca="true">IFERROR(INDEX(INDIRECT(E31&amp;"Table"),MATCH(E32,INDIRECT(E31&amp;"Table"&amp;"[Name]"),0),COLUMN(INDIRECT(E31&amp;"Table"&amp;"["&amp;B37&amp;"]"))),0)</f>
        <v>0</v>
      </c>
      <c r="F37" s="72" t="n">
        <f aca="true">IFERROR(INDEX(INDIRECT(F31&amp;"Table"),MATCH(F32,INDIRECT(F31&amp;"Table"&amp;"[Name]"),0),COLUMN(INDIRECT(F31&amp;"Table"&amp;"["&amp;B37&amp;"]"))),0)</f>
        <v>0</v>
      </c>
      <c r="G37" s="72" t="n">
        <f aca="true">IFERROR(INDEX(INDIRECT(G31&amp;"Table"),MATCH(G32,INDIRECT(G31&amp;"Table"&amp;"[Name]"),0),COLUMN(INDIRECT(G31&amp;"Table"&amp;"["&amp;B37&amp;"]"))),0)*IF(C35=0,0,1)</f>
        <v>130</v>
      </c>
      <c r="H37" s="72" t="n">
        <f aca="true">IFERROR(INDEX(INDIRECT(H31&amp;"Table"),MATCH(H32,INDIRECT(H31&amp;"Table"&amp;"[Name]"),0),COLUMN(INDIRECT(H31&amp;"Table"&amp;"["&amp;B37&amp;"]"))),0)*IF(C36=0,0,1)</f>
        <v>0</v>
      </c>
      <c r="I37" s="45"/>
      <c r="J37" s="14" t="s">
        <v>384</v>
      </c>
      <c r="K37" s="14"/>
      <c r="L37" s="104" t="n">
        <v>1</v>
      </c>
      <c r="M37" s="45"/>
      <c r="N37" s="61" t="s">
        <v>385</v>
      </c>
      <c r="O37" s="61"/>
      <c r="P37" s="72" t="n">
        <f aca="false">$P$8/$P$5</f>
        <v>2.19448394259708</v>
      </c>
      <c r="Q37" s="61"/>
      <c r="R37" s="61"/>
      <c r="S37" s="45"/>
      <c r="T37" s="45"/>
      <c r="U37" s="45"/>
    </row>
    <row r="38" customFormat="false" ht="14.4" hidden="false" customHeight="false" outlineLevel="0" collapsed="false">
      <c r="A38" s="1"/>
      <c r="B38" s="20" t="s">
        <v>179</v>
      </c>
      <c r="C38" s="72" t="n">
        <v>0</v>
      </c>
      <c r="D38" s="72" t="n">
        <f aca="true">IFERROR(INDEX(INDIRECT(D31&amp;"Table"),MATCH(D32,INDIRECT(D31&amp;"Table"&amp;"[Name]"),0),COLUMN(INDIRECT(D31&amp;"Table"&amp;"["&amp;B38&amp;"]"))),0)</f>
        <v>0</v>
      </c>
      <c r="E38" s="72" t="n">
        <f aca="true">IFERROR(INDEX(INDIRECT(E31&amp;"Table"),MATCH(E32,INDIRECT(E31&amp;"Table"&amp;"[Name]"),0),COLUMN(INDIRECT(E31&amp;"Table"&amp;"["&amp;B38&amp;"]"))),0)</f>
        <v>0</v>
      </c>
      <c r="F38" s="72" t="n">
        <f aca="true">IFERROR(INDEX(INDIRECT(F31&amp;"Table"),MATCH(F32,INDIRECT(F31&amp;"Table"&amp;"[Name]"),0),COLUMN(INDIRECT(F31&amp;"Table"&amp;"["&amp;B38&amp;"]"))),0)</f>
        <v>0</v>
      </c>
      <c r="G38" s="72" t="n">
        <f aca="true">IFERROR(INDEX(INDIRECT(G31&amp;"Table"),MATCH(G32,INDIRECT(G31&amp;"Table"&amp;"[Name]"),0),COLUMN(INDIRECT(G31&amp;"Table"&amp;"["&amp;B38&amp;"]"))),0)</f>
        <v>0</v>
      </c>
      <c r="H38" s="72" t="n">
        <f aca="true">IFERROR(INDEX(INDIRECT(H31&amp;"Table"),MATCH(H32,INDIRECT(H31&amp;"Table"&amp;"[Name]"),0),COLUMN(INDIRECT(H31&amp;"Table"&amp;"["&amp;B38&amp;"]"))),0)</f>
        <v>0</v>
      </c>
      <c r="I38" s="45"/>
      <c r="J38" s="14" t="s">
        <v>79</v>
      </c>
      <c r="K38" s="14"/>
      <c r="L38" s="103" t="n">
        <v>1</v>
      </c>
      <c r="M38" s="45"/>
      <c r="N38" s="61"/>
      <c r="O38" s="61"/>
      <c r="P38" s="61"/>
      <c r="Q38" s="61"/>
      <c r="R38" s="61"/>
      <c r="S38" s="45"/>
      <c r="T38" s="45"/>
      <c r="U38" s="45"/>
    </row>
    <row r="39" customFormat="false" ht="14.4" hidden="false" customHeight="false" outlineLevel="0" collapsed="false">
      <c r="A39" s="1"/>
      <c r="B39" s="20" t="s">
        <v>184</v>
      </c>
      <c r="C39" s="72" t="n">
        <v>0</v>
      </c>
      <c r="D39" s="72" t="n">
        <f aca="true">IFERROR(INDEX(INDIRECT(D31&amp;"Table"),MATCH(D32,INDIRECT(D31&amp;"Table"&amp;"[Name]"),0),COLUMN(INDIRECT(D31&amp;"Table"&amp;"["&amp;B39&amp;"]"))),0)</f>
        <v>0</v>
      </c>
      <c r="E39" s="72" t="n">
        <f aca="true">IFERROR(INDEX(INDIRECT(E31&amp;"Table"),MATCH(E32,INDIRECT(E31&amp;"Table"&amp;"[Name]"),0),COLUMN(INDIRECT(E31&amp;"Table"&amp;"["&amp;B39&amp;"]"))),0)</f>
        <v>0</v>
      </c>
      <c r="F39" s="72" t="n">
        <f aca="true">IFERROR(INDEX(INDIRECT(F31&amp;"Table"),MATCH(F32,INDIRECT(F31&amp;"Table"&amp;"[Name]"),0),COLUMN(INDIRECT(F31&amp;"Table"&amp;"["&amp;B39&amp;"]"))),0)</f>
        <v>0</v>
      </c>
      <c r="G39" s="72" t="n">
        <f aca="true">IFERROR(INDEX(INDIRECT(G31&amp;"Table"),MATCH(G32,INDIRECT(G31&amp;"Table"&amp;"[Name]"),0),COLUMN(INDIRECT(G31&amp;"Table"&amp;"["&amp;B39&amp;"]"))),0)*IF(C35=0,0,1)</f>
        <v>1.36</v>
      </c>
      <c r="H39" s="72" t="n">
        <f aca="true">IFERROR(INDEX(INDIRECT(H31&amp;"Table"),MATCH(H32,INDIRECT(H31&amp;"Table"&amp;"[Name]"),0),COLUMN(INDIRECT(H31&amp;"Table"&amp;"["&amp;B39&amp;"]"))),0)*IF(C36=0,0,1)</f>
        <v>0</v>
      </c>
      <c r="I39" s="45"/>
      <c r="J39" s="14" t="s">
        <v>386</v>
      </c>
      <c r="K39" s="14"/>
      <c r="L39" s="103" t="n">
        <v>1</v>
      </c>
      <c r="M39" s="45"/>
      <c r="N39" s="61" t="s">
        <v>328</v>
      </c>
      <c r="O39" s="61"/>
      <c r="P39" s="141" t="n">
        <f aca="false">FLOOR(P37,1)*R31</f>
        <v>16180.19</v>
      </c>
      <c r="Q39" s="61"/>
      <c r="R39" s="61"/>
      <c r="S39" s="45"/>
      <c r="T39" s="45"/>
      <c r="U39" s="45"/>
    </row>
    <row r="40" customFormat="false" ht="14.4" hidden="false" customHeight="false" outlineLevel="0" collapsed="false">
      <c r="A40" s="1"/>
      <c r="B40" s="20" t="s">
        <v>387</v>
      </c>
      <c r="C40" s="72"/>
      <c r="D40" s="72"/>
      <c r="E40" s="72"/>
      <c r="F40" s="72"/>
      <c r="G40" s="72" t="n">
        <f aca="true">IFERROR(INDEX(INDIRECT(G31&amp;"Table"),MATCH(G32,INDIRECT(G31&amp;"Table"&amp;"[Name]"),0),COLUMN(INDIRECT(G31&amp;"Table"&amp;"["&amp;B40&amp;"]"))),0)*IF(C35=0,0,1)</f>
        <v>35</v>
      </c>
      <c r="H40" s="72" t="n">
        <f aca="true">IFERROR(INDEX(INDIRECT(H31&amp;"Table"),MATCH(H32,INDIRECT(H31&amp;"Table"&amp;"[Name]"),0),COLUMN(INDIRECT(H31&amp;"Table"&amp;"["&amp;B40&amp;"]"))),0)*IF(C36=0,0,1)</f>
        <v>0</v>
      </c>
      <c r="I40" s="45"/>
      <c r="J40" s="61" t="s">
        <v>388</v>
      </c>
      <c r="K40" s="76"/>
      <c r="L40" s="72" t="n">
        <f aca="false">((100+C41*L38)/100)*C35*G37*L37*L39*IF(B30="None",0,1)</f>
        <v>679.25</v>
      </c>
      <c r="M40" s="45"/>
      <c r="N40" s="61" t="s">
        <v>389</v>
      </c>
      <c r="O40" s="61"/>
      <c r="P40" s="141" t="n">
        <f aca="false">P39/P36</f>
        <v>4463.42098428571</v>
      </c>
      <c r="Q40" s="61"/>
      <c r="R40" s="61"/>
      <c r="S40" s="45"/>
      <c r="T40" s="45"/>
      <c r="U40" s="45"/>
    </row>
    <row r="41" customFormat="false" ht="14.4" hidden="false" customHeight="false" outlineLevel="0" collapsed="false">
      <c r="A41" s="1"/>
      <c r="B41" s="20" t="s">
        <v>199</v>
      </c>
      <c r="C41" s="72" t="n">
        <f aca="false">SUM(C33:H33)</f>
        <v>375</v>
      </c>
      <c r="D41" s="72" t="s">
        <v>390</v>
      </c>
      <c r="E41" s="72" t="n">
        <f aca="false">COUNTIF(G40:H40,"&gt;0")*IF(B30="None",0,1)*L37</f>
        <v>1</v>
      </c>
      <c r="F41" s="72"/>
      <c r="G41" s="72"/>
      <c r="H41" s="72"/>
      <c r="I41" s="45"/>
      <c r="J41" s="61" t="s">
        <v>391</v>
      </c>
      <c r="K41" s="76"/>
      <c r="L41" s="72" t="n">
        <f aca="false">((100+C41*L38)/100)*C36*H37*L37*L39*IF(B30="None",0,1)</f>
        <v>0</v>
      </c>
      <c r="M41" s="45"/>
      <c r="N41" s="61"/>
      <c r="O41" s="61"/>
      <c r="P41" s="61"/>
      <c r="Q41" s="61"/>
      <c r="R41" s="61"/>
      <c r="S41" s="45"/>
      <c r="T41" s="45"/>
      <c r="U41" s="45"/>
    </row>
    <row r="42" customFormat="false" ht="14.4" hidden="false" customHeight="false" outlineLevel="0" collapsed="false">
      <c r="A42" s="1"/>
      <c r="B42" s="20"/>
      <c r="C42" s="72"/>
      <c r="D42" s="72"/>
      <c r="E42" s="72"/>
      <c r="F42" s="72"/>
      <c r="G42" s="72"/>
      <c r="H42" s="72"/>
      <c r="I42" s="45"/>
      <c r="J42" s="72"/>
      <c r="K42" s="72"/>
      <c r="L42" s="72"/>
      <c r="M42" s="45"/>
      <c r="N42" s="61"/>
      <c r="O42" s="61"/>
      <c r="P42" s="61"/>
      <c r="Q42" s="61"/>
      <c r="R42" s="61"/>
      <c r="S42" s="45"/>
      <c r="T42" s="45"/>
      <c r="U42" s="45"/>
    </row>
    <row r="43" customFormat="false" ht="14.4" hidden="false" customHeight="false" outlineLevel="0" collapsed="false">
      <c r="A43" s="1"/>
      <c r="B43" s="45"/>
      <c r="C43" s="45"/>
      <c r="D43" s="45"/>
      <c r="E43" s="45"/>
      <c r="F43" s="45"/>
      <c r="G43" s="45"/>
      <c r="H43" s="45"/>
      <c r="I43" s="45"/>
      <c r="J43" s="45"/>
      <c r="K43" s="45"/>
      <c r="L43" s="45"/>
      <c r="M43" s="45"/>
      <c r="N43" s="45"/>
      <c r="O43" s="45"/>
      <c r="P43" s="45"/>
      <c r="Q43" s="45"/>
      <c r="R43" s="45"/>
      <c r="S43" s="45"/>
      <c r="T43" s="45"/>
      <c r="U43" s="45"/>
    </row>
    <row r="44" customFormat="false" ht="14.4" hidden="false" customHeight="false" outlineLevel="0" collapsed="false">
      <c r="A44" s="1"/>
      <c r="B44" s="56" t="s">
        <v>394</v>
      </c>
      <c r="C44" s="15" t="s">
        <v>395</v>
      </c>
      <c r="D44" s="57" t="s">
        <v>116</v>
      </c>
      <c r="E44" s="57" t="s">
        <v>117</v>
      </c>
      <c r="F44" s="57" t="s">
        <v>365</v>
      </c>
      <c r="G44" s="57" t="s">
        <v>366</v>
      </c>
      <c r="H44" s="57" t="s">
        <v>367</v>
      </c>
      <c r="I44" s="45"/>
      <c r="J44" s="34" t="s">
        <v>368</v>
      </c>
      <c r="K44" s="34"/>
      <c r="L44" s="34"/>
      <c r="M44" s="140"/>
      <c r="N44" s="61" t="s">
        <v>369</v>
      </c>
      <c r="O44" s="61"/>
      <c r="P44" s="72" t="n">
        <f aca="false">SUM($G$12:$H$12)*$L$9+SUM($G$26:$H$26)*$L$23+SUM($G$40:$H$40)*$L$37+SUM($G$54:$H$54)*$L$51+SUM($G$68:$H$68)*$L$65+SUM($G$82:$H$82)*$L$79</f>
        <v>315</v>
      </c>
      <c r="Q44" s="61" t="s">
        <v>370</v>
      </c>
      <c r="R44" s="72" t="n">
        <f aca="false">$J$88</f>
        <v>1</v>
      </c>
      <c r="S44" s="45"/>
      <c r="T44" s="45"/>
      <c r="U44" s="45"/>
    </row>
    <row r="45" customFormat="false" ht="14.4" hidden="false" customHeight="false" outlineLevel="0" collapsed="false">
      <c r="A45" s="1"/>
      <c r="B45" s="20" t="s">
        <v>96</v>
      </c>
      <c r="C45" s="60" t="str">
        <f aca="false">IFERROR(INDEX(SType[],MATCH(C46,SType[Ship],0),COLUMN(SType[Type])),0)</f>
        <v>HeavyCruiser</v>
      </c>
      <c r="D45" s="56" t="s">
        <v>247</v>
      </c>
      <c r="E45" s="56" t="s">
        <v>120</v>
      </c>
      <c r="F45" s="56" t="s">
        <v>120</v>
      </c>
      <c r="G45" s="56" t="s">
        <v>50</v>
      </c>
      <c r="H45" s="56" t="s">
        <v>50</v>
      </c>
      <c r="I45" s="45"/>
      <c r="J45" s="61" t="s">
        <v>195</v>
      </c>
      <c r="K45" s="62"/>
      <c r="L45" s="72" t="n">
        <f aca="false">SQRT(200/(100+(1+L50)*SUM(C48:H48)))*IF(B44="None",0,1)</f>
        <v>0.8304547985374</v>
      </c>
      <c r="M45" s="45"/>
      <c r="N45" s="61" t="s">
        <v>371</v>
      </c>
      <c r="O45" s="61"/>
      <c r="P45" s="72" t="n">
        <f aca="false">SUM($E$13,$E$27,$E$41,$E$69,$E$83,$E$55)</f>
        <v>9</v>
      </c>
      <c r="Q45" s="61" t="s">
        <v>372</v>
      </c>
      <c r="R45" s="72" t="n">
        <f aca="false">SUM($L$12,$L$13,$L$26,$L$27,$L$40,$L$41,$L$54,$L$55,$L$68,$L$69,$L$82,$L$83)*$R$2</f>
        <v>8090.095</v>
      </c>
      <c r="S45" s="45"/>
      <c r="T45" s="45"/>
      <c r="U45" s="45"/>
    </row>
    <row r="46" customFormat="false" ht="14.4" hidden="false" customHeight="false" outlineLevel="0" collapsed="false">
      <c r="A46" s="1"/>
      <c r="B46" s="20" t="s">
        <v>97</v>
      </c>
      <c r="C46" s="60" t="str">
        <f aca="false">IFERROR(INDEX(Base[],MATCH(C44,Base[Akashi],0),COLUMN(Base[AR])),0)</f>
        <v>CA</v>
      </c>
      <c r="D46" s="15" t="s">
        <v>36</v>
      </c>
      <c r="E46" s="15" t="s">
        <v>373</v>
      </c>
      <c r="F46" s="15" t="s">
        <v>373</v>
      </c>
      <c r="G46" s="15" t="s">
        <v>374</v>
      </c>
      <c r="H46" s="15" t="s">
        <v>374</v>
      </c>
      <c r="I46" s="45"/>
      <c r="J46" s="61" t="s">
        <v>375</v>
      </c>
      <c r="K46" s="62"/>
      <c r="L46" s="72" t="n">
        <f aca="false">G53*L45*IF(B44="None",0,1)</f>
        <v>1.12941852601086</v>
      </c>
      <c r="M46" s="45"/>
      <c r="N46" s="61" t="s">
        <v>376</v>
      </c>
      <c r="O46" s="61"/>
      <c r="P46" s="72" t="n">
        <f aca="false">P44/P45</f>
        <v>35</v>
      </c>
      <c r="Q46" s="61" t="s">
        <v>377</v>
      </c>
      <c r="R46" s="72" t="n">
        <f aca="false">R45/P47</f>
        <v>4897.45283953293</v>
      </c>
      <c r="S46" s="45"/>
      <c r="T46" s="45"/>
      <c r="U46" s="45"/>
    </row>
    <row r="47" customFormat="false" ht="14.4" hidden="false" customHeight="false" outlineLevel="0" collapsed="false">
      <c r="A47" s="1"/>
      <c r="B47" s="20" t="s">
        <v>50</v>
      </c>
      <c r="C47" s="72" t="n">
        <f aca="true">IFERROR(INDEX(INDIRECT(C45&amp;"Table"),MATCH(C44,INDIRECT(C45&amp;"Table"&amp;"[Name]"),0),COLUMN(INDIRECT(C45&amp;"Table"&amp;"["&amp;B47&amp;"]"))),0)*IF(B44="None",0,1)</f>
        <v>248</v>
      </c>
      <c r="D47" s="72" t="n">
        <f aca="true">IFERROR(INDEX(INDIRECT(D45&amp;"Table"),MATCH(D46,INDIRECT(D45&amp;"Table"&amp;"[Name]"),0),COLUMN(INDIRECT(D45&amp;"Table"&amp;"["&amp;B47&amp;"]"))),0)</f>
        <v>0</v>
      </c>
      <c r="E47" s="72" t="n">
        <f aca="true">IFERROR(INDEX(INDIRECT(E45&amp;"Table"),MATCH(E46,INDIRECT(E45&amp;"Table"&amp;"[Name]"),0),COLUMN(INDIRECT(E45&amp;"Table"&amp;"["&amp;$B$5&amp;"]"))),0)</f>
        <v>100</v>
      </c>
      <c r="F47" s="72" t="n">
        <f aca="true">IFERROR(INDEX(INDIRECT(F45&amp;"Table"),MATCH(F46,INDIRECT(F45&amp;"Table"&amp;"[Name]"),0),COLUMN(INDIRECT(F45&amp;"Table"&amp;"["&amp;B47&amp;"]"))),0)</f>
        <v>100</v>
      </c>
      <c r="G47" s="72" t="n">
        <f aca="true">IFERROR(INDEX(INDIRECT(G45&amp;"Table"),MATCH(G46,INDIRECT(G45&amp;"Table"&amp;"[Name]"),0),COLUMN(INDIRECT(G45&amp;"Table"&amp;"["&amp;B47&amp;"]"))),0)*IF(C49=0,0,1)</f>
        <v>45</v>
      </c>
      <c r="H47" s="72" t="n">
        <f aca="true">IFERROR(INDEX(INDIRECT(H45&amp;"Table"),MATCH(H46,INDIRECT(H45&amp;"Table"&amp;"[Name]"),0),COLUMN(INDIRECT(H45&amp;"Table"&amp;"["&amp;B47&amp;"]"))),0)*IF(C50=0,0,1)</f>
        <v>0</v>
      </c>
      <c r="I47" s="45"/>
      <c r="J47" s="61" t="s">
        <v>378</v>
      </c>
      <c r="K47" s="76"/>
      <c r="L47" s="72" t="n">
        <f aca="false">H53*L45*IF(B44="None",0,1)</f>
        <v>0</v>
      </c>
      <c r="M47" s="45"/>
      <c r="N47" s="61" t="s">
        <v>379</v>
      </c>
      <c r="O47" s="61"/>
      <c r="P47" s="72" t="n">
        <f aca="false">(SUM($L$4,$L$5)*$L$9+SUM($L$18,$L$19)*$L$23+SUM($L$32,$L$33)*$L$37+SUM($L$46,$L$47)*$L$51+SUM($L$60,$L$61)*$L$65+SUM($L$74,$L$75)*$L$79)/P45+0.5</f>
        <v>1.65189850011329</v>
      </c>
      <c r="Q47" s="61"/>
      <c r="R47" s="61"/>
      <c r="S47" s="45"/>
      <c r="T47" s="45"/>
      <c r="U47" s="45"/>
    </row>
    <row r="48" customFormat="false" ht="14.4" hidden="false" customHeight="false" outlineLevel="0" collapsed="false">
      <c r="A48" s="1"/>
      <c r="B48" s="20" t="s">
        <v>100</v>
      </c>
      <c r="C48" s="72" t="n">
        <f aca="true">IFERROR(INDEX(INDIRECT(C45&amp;"Table"),MATCH(C44,INDIRECT(C45&amp;"Table"&amp;"[Name]"),0),COLUMN(INDIRECT(C45&amp;"Table"&amp;"["&amp;B48&amp;"]"))),0)*IF(B44="None",0,1)</f>
        <v>190</v>
      </c>
      <c r="D48" s="72" t="n">
        <f aca="true">IFERROR(INDEX(INDIRECT(D45&amp;"Table"),MATCH(D46,INDIRECT(D45&amp;"Table"&amp;"[Name]"),0),COLUMN(INDIRECT(D45&amp;"Table"&amp;"["&amp;B48&amp;"]"))),0)</f>
        <v>0</v>
      </c>
      <c r="E48" s="72" t="n">
        <f aca="true">IFERROR(INDEX(INDIRECT(E45&amp;"Table"),MATCH(E46,INDIRECT(E45&amp;"Table"&amp;"[Name]"),0),COLUMN(INDIRECT(E45&amp;"Table"&amp;"["&amp;B48&amp;"]"))),0)</f>
        <v>0</v>
      </c>
      <c r="F48" s="72" t="n">
        <f aca="true">IFERROR(INDEX(INDIRECT(F45&amp;"Table"),MATCH($F$4,INDIRECT(F45&amp;"Table"&amp;"[Name]"),0),COLUMN(INDIRECT(F45&amp;"Table"&amp;"["&amp;B48&amp;"]"))),0)</f>
        <v>0</v>
      </c>
      <c r="G48" s="72" t="n">
        <f aca="true">IFERROR(INDEX(INDIRECT(G45&amp;"Table"),MATCH(G46,INDIRECT(G45&amp;"Table"&amp;"[Name]"),0),COLUMN(INDIRECT(G45&amp;"Table"&amp;"["&amp;B48&amp;"]"))),0)</f>
        <v>0</v>
      </c>
      <c r="H48" s="72" t="n">
        <f aca="true">IFERROR(INDEX(INDIRECT(H45&amp;"Table"),MATCH(H46,INDIRECT(H45&amp;"Table"&amp;"[Name]"),0),COLUMN(INDIRECT(H45&amp;"Table"&amp;"["&amp;B48&amp;"]"))),0)</f>
        <v>0</v>
      </c>
      <c r="I48" s="45"/>
      <c r="J48" s="61"/>
      <c r="K48" s="72"/>
      <c r="L48" s="72"/>
      <c r="M48" s="45"/>
      <c r="N48" s="61"/>
      <c r="O48" s="61"/>
      <c r="P48" s="61"/>
      <c r="Q48" s="61"/>
      <c r="R48" s="61"/>
      <c r="S48" s="45"/>
      <c r="T48" s="45"/>
      <c r="U48" s="45"/>
    </row>
    <row r="49" customFormat="false" ht="14.4" hidden="false" customHeight="false" outlineLevel="0" collapsed="false">
      <c r="A49" s="1"/>
      <c r="B49" s="20" t="s">
        <v>380</v>
      </c>
      <c r="C49" s="72" t="n">
        <f aca="true">IFERROR(INDEX(INDIRECT(C45&amp;"Table"),MATCH(C44,INDIRECT(C45&amp;"Table"&amp;"[Name]"),0),COLUMN(INDIRECT(C45&amp;"Table"&amp;"["&amp;B49&amp;"]"))),0)*IF(B44="None",0,1)</f>
        <v>1.25</v>
      </c>
      <c r="D49" s="72" t="n">
        <f aca="true">IFERROR(INDEX(INDIRECT(D45&amp;"Table"),MATCH(D46,INDIRECT(D45&amp;"Table"&amp;"[Name]"),0),COLUMN(INDIRECT(D45&amp;"Table"&amp;"["&amp;B49&amp;"]"))),0)</f>
        <v>0</v>
      </c>
      <c r="E49" s="72" t="n">
        <f aca="true">IFERROR(INDEX(INDIRECT(E45&amp;"Table"),MATCH(E46,INDIRECT(E45&amp;"Table"&amp;"[Name]"),0),COLUMN(INDIRECT(E45&amp;"Table"&amp;"["&amp;B49&amp;"]"))),0)</f>
        <v>0</v>
      </c>
      <c r="F49" s="72" t="n">
        <f aca="true">IFERROR(INDEX(INDIRECT(F45&amp;"Table"),MATCH(F46,INDIRECT(F45&amp;"Table"&amp;"[Name]"),0),COLUMN(INDIRECT(F45&amp;"Table"&amp;"["&amp;B49&amp;"]"))),0)</f>
        <v>0</v>
      </c>
      <c r="G49" s="72" t="n">
        <f aca="true">IFERROR(INDEX(INDIRECT(G45&amp;"Table"),MATCH(G46,INDIRECT(G45&amp;"Table"&amp;"[Name]"),0),COLUMN(INDIRECT(G45&amp;"Table"&amp;"["&amp;B49&amp;"]"))),0)</f>
        <v>0</v>
      </c>
      <c r="H49" s="72" t="n">
        <f aca="true">IFERROR(INDEX(INDIRECT(H45&amp;"Table"),MATCH(H46,INDIRECT(H45&amp;"Table"&amp;"[Name]"),0),COLUMN(INDIRECT(H45&amp;"Table"&amp;"["&amp;B49&amp;"]"))),0)</f>
        <v>0</v>
      </c>
      <c r="I49" s="45"/>
      <c r="J49" s="61"/>
      <c r="K49" s="72"/>
      <c r="L49" s="72"/>
      <c r="M49" s="45"/>
      <c r="N49" s="61" t="s">
        <v>381</v>
      </c>
      <c r="O49" s="61"/>
      <c r="P49" s="72" t="n">
        <v>19.31</v>
      </c>
      <c r="Q49" s="61"/>
      <c r="R49" s="61"/>
      <c r="S49" s="45"/>
      <c r="T49" s="45"/>
      <c r="U49" s="45"/>
    </row>
    <row r="50" customFormat="false" ht="14.4" hidden="false" customHeight="false" outlineLevel="0" collapsed="false">
      <c r="A50" s="1"/>
      <c r="B50" s="20" t="s">
        <v>382</v>
      </c>
      <c r="C50" s="72" t="n">
        <f aca="true">IFERROR(INDEX(INDIRECT(C45&amp;"Table"),MATCH(C44,INDIRECT(C45&amp;"Table"&amp;"[Name]"),0),COLUMN(INDIRECT(C45&amp;"Table"&amp;"["&amp;B50&amp;"]"))),0)*IF(B44="None",0,1)</f>
        <v>0</v>
      </c>
      <c r="D50" s="72" t="n">
        <f aca="true">IFERROR(INDEX(INDIRECT(D45&amp;"Table"),MATCH(D46,INDIRECT(D45&amp;"Table"&amp;"[Name]"),0),COLUMN(INDIRECT(D45&amp;"Table"&amp;"["&amp;B50&amp;"]"))),0)</f>
        <v>0</v>
      </c>
      <c r="E50" s="72" t="n">
        <f aca="true">IFERROR(INDEX(INDIRECT(E45&amp;"Table"),MATCH(E46,INDIRECT(E45&amp;"Table"&amp;"[Name]"),0),COLUMN(INDIRECT(E45&amp;"Table"&amp;"["&amp;B50&amp;"]"))),0)</f>
        <v>0</v>
      </c>
      <c r="F50" s="72" t="n">
        <f aca="true">IFERROR(INDEX(INDIRECT(F45&amp;"Table"),MATCH(F46,INDIRECT(F45&amp;"Table"&amp;"[Name]"),0),COLUMN(INDIRECT(F45&amp;"Table"&amp;"["&amp;B50&amp;"]"))),0)</f>
        <v>0</v>
      </c>
      <c r="G50" s="72" t="n">
        <f aca="true">IFERROR(INDEX(INDIRECT(G45&amp;"Table"),MATCH(G46,INDIRECT(G45&amp;"Table"&amp;"[Name]"),0),COLUMN(INDIRECT(G45&amp;"Table"&amp;"["&amp;B50&amp;"]"))),0)</f>
        <v>0</v>
      </c>
      <c r="H50" s="72" t="n">
        <f aca="true">IFERROR(INDEX(INDIRECT(H45&amp;"Table"),MATCH(H46,INDIRECT(H45&amp;"Table"&amp;"[Name]"),0),COLUMN(INDIRECT(H45&amp;"Table"&amp;"["&amp;B50&amp;"]"))),0)</f>
        <v>0</v>
      </c>
      <c r="I50" s="45"/>
      <c r="J50" s="14" t="s">
        <v>271</v>
      </c>
      <c r="K50" s="14"/>
      <c r="L50" s="103" t="n">
        <v>0</v>
      </c>
      <c r="M50" s="45"/>
      <c r="N50" s="61" t="s">
        <v>383</v>
      </c>
      <c r="O50" s="61"/>
      <c r="P50" s="72" t="n">
        <f aca="false">(P46*2)/P49</f>
        <v>3.62506473329881</v>
      </c>
      <c r="Q50" s="61"/>
      <c r="R50" s="61"/>
      <c r="S50" s="45"/>
      <c r="T50" s="45"/>
      <c r="U50" s="45"/>
    </row>
    <row r="51" customFormat="false" ht="14.4" hidden="false" customHeight="false" outlineLevel="0" collapsed="false">
      <c r="A51" s="1"/>
      <c r="B51" s="20" t="s">
        <v>173</v>
      </c>
      <c r="C51" s="72" t="n">
        <v>0</v>
      </c>
      <c r="D51" s="72" t="n">
        <f aca="true">IFERROR(INDEX(INDIRECT(D45&amp;"Table"),MATCH(D46,INDIRECT(D45&amp;"Table"&amp;"[Name]"),0),COLUMN(INDIRECT(D45&amp;"Table"&amp;"["&amp;B51&amp;"]"))),0)</f>
        <v>0</v>
      </c>
      <c r="E51" s="72" t="n">
        <f aca="true">IFERROR(INDEX(INDIRECT(E45&amp;"Table"),MATCH(E46,INDIRECT(E45&amp;"Table"&amp;"[Name]"),0),COLUMN(INDIRECT(E45&amp;"Table"&amp;"["&amp;B51&amp;"]"))),0)</f>
        <v>0</v>
      </c>
      <c r="F51" s="72" t="n">
        <f aca="true">IFERROR(INDEX(INDIRECT(F45&amp;"Table"),MATCH(F46,INDIRECT(F45&amp;"Table"&amp;"[Name]"),0),COLUMN(INDIRECT(F45&amp;"Table"&amp;"["&amp;B51&amp;"]"))),0)</f>
        <v>0</v>
      </c>
      <c r="G51" s="72" t="n">
        <f aca="true">IFERROR(INDEX(INDIRECT(G45&amp;"Table"),MATCH(G46,INDIRECT(G45&amp;"Table"&amp;"[Name]"),0),COLUMN(INDIRECT(G45&amp;"Table"&amp;"["&amp;B51&amp;"]"))),0)*IF(C49=0,0,1)</f>
        <v>130</v>
      </c>
      <c r="H51" s="72" t="n">
        <f aca="true">IFERROR(INDEX(INDIRECT(H45&amp;"Table"),MATCH(H46,INDIRECT(H45&amp;"Table"&amp;"[Name]"),0),COLUMN(INDIRECT(H45&amp;"Table"&amp;"["&amp;B51&amp;"]"))),0)*IF(C50=0,0,1)</f>
        <v>0</v>
      </c>
      <c r="I51" s="45"/>
      <c r="J51" s="14" t="s">
        <v>384</v>
      </c>
      <c r="K51" s="14"/>
      <c r="L51" s="104" t="n">
        <v>1</v>
      </c>
      <c r="M51" s="45"/>
      <c r="N51" s="61" t="s">
        <v>385</v>
      </c>
      <c r="O51" s="61"/>
      <c r="P51" s="72" t="n">
        <f aca="false">$P$8/$P$5</f>
        <v>2.19448394259708</v>
      </c>
      <c r="Q51" s="61"/>
      <c r="R51" s="61"/>
      <c r="S51" s="45"/>
      <c r="T51" s="45"/>
      <c r="U51" s="45"/>
    </row>
    <row r="52" customFormat="false" ht="14.4" hidden="false" customHeight="false" outlineLevel="0" collapsed="false">
      <c r="A52" s="1"/>
      <c r="B52" s="20" t="s">
        <v>179</v>
      </c>
      <c r="C52" s="72" t="n">
        <v>0</v>
      </c>
      <c r="D52" s="72" t="n">
        <f aca="true">IFERROR(INDEX(INDIRECT(D45&amp;"Table"),MATCH(D46,INDIRECT(D45&amp;"Table"&amp;"[Name]"),0),COLUMN(INDIRECT(D45&amp;"Table"&amp;"["&amp;B52&amp;"]"))),0)</f>
        <v>0</v>
      </c>
      <c r="E52" s="72" t="n">
        <f aca="true">IFERROR(INDEX(INDIRECT(E45&amp;"Table"),MATCH(E46,INDIRECT(E45&amp;"Table"&amp;"[Name]"),0),COLUMN(INDIRECT(E45&amp;"Table"&amp;"["&amp;B52&amp;"]"))),0)</f>
        <v>0</v>
      </c>
      <c r="F52" s="72" t="n">
        <f aca="true">IFERROR(INDEX(INDIRECT(F45&amp;"Table"),MATCH(F46,INDIRECT(F45&amp;"Table"&amp;"[Name]"),0),COLUMN(INDIRECT(F45&amp;"Table"&amp;"["&amp;B52&amp;"]"))),0)</f>
        <v>0</v>
      </c>
      <c r="G52" s="72" t="n">
        <f aca="true">IFERROR(INDEX(INDIRECT(G45&amp;"Table"),MATCH(G46,INDIRECT(G45&amp;"Table"&amp;"[Name]"),0),COLUMN(INDIRECT(G45&amp;"Table"&amp;"["&amp;B52&amp;"]"))),0)</f>
        <v>0</v>
      </c>
      <c r="H52" s="72" t="n">
        <f aca="true">IFERROR(INDEX(INDIRECT(H45&amp;"Table"),MATCH(H46,INDIRECT(H45&amp;"Table"&amp;"[Name]"),0),COLUMN(INDIRECT(H45&amp;"Table"&amp;"["&amp;B52&amp;"]"))),0)</f>
        <v>0</v>
      </c>
      <c r="I52" s="45"/>
      <c r="J52" s="14" t="s">
        <v>79</v>
      </c>
      <c r="K52" s="14"/>
      <c r="L52" s="103" t="n">
        <v>1</v>
      </c>
      <c r="M52" s="45"/>
      <c r="N52" s="61"/>
      <c r="O52" s="61"/>
      <c r="P52" s="61"/>
      <c r="Q52" s="61"/>
      <c r="R52" s="61"/>
      <c r="S52" s="45"/>
      <c r="T52" s="45"/>
      <c r="U52" s="45"/>
    </row>
    <row r="53" customFormat="false" ht="14.4" hidden="false" customHeight="false" outlineLevel="0" collapsed="false">
      <c r="A53" s="1"/>
      <c r="B53" s="20" t="s">
        <v>184</v>
      </c>
      <c r="C53" s="72" t="n">
        <v>0</v>
      </c>
      <c r="D53" s="72" t="n">
        <f aca="true">IFERROR(INDEX(INDIRECT(D45&amp;"Table"),MATCH(D46,INDIRECT(D45&amp;"Table"&amp;"[Name]"),0),COLUMN(INDIRECT(D45&amp;"Table"&amp;"["&amp;B53&amp;"]"))),0)</f>
        <v>0</v>
      </c>
      <c r="E53" s="72" t="n">
        <f aca="true">IFERROR(INDEX(INDIRECT(E45&amp;"Table"),MATCH(E46,INDIRECT(E45&amp;"Table"&amp;"[Name]"),0),COLUMN(INDIRECT(E45&amp;"Table"&amp;"["&amp;B53&amp;"]"))),0)</f>
        <v>0</v>
      </c>
      <c r="F53" s="72" t="n">
        <f aca="true">IFERROR(INDEX(INDIRECT(F45&amp;"Table"),MATCH(F46,INDIRECT(F45&amp;"Table"&amp;"[Name]"),0),COLUMN(INDIRECT(F45&amp;"Table"&amp;"["&amp;B53&amp;"]"))),0)</f>
        <v>0</v>
      </c>
      <c r="G53" s="72" t="n">
        <f aca="true">IFERROR(INDEX(INDIRECT(G45&amp;"Table"),MATCH(G46,INDIRECT(G45&amp;"Table"&amp;"[Name]"),0),COLUMN(INDIRECT(G45&amp;"Table"&amp;"["&amp;B53&amp;"]"))),0)*IF(C49=0,0,1)</f>
        <v>1.36</v>
      </c>
      <c r="H53" s="72" t="n">
        <f aca="true">IFERROR(INDEX(INDIRECT(H45&amp;"Table"),MATCH(H46,INDIRECT(H45&amp;"Table"&amp;"[Name]"),0),COLUMN(INDIRECT(H45&amp;"Table"&amp;"["&amp;B53&amp;"]"))),0)*IF(C50=0,0,1)</f>
        <v>0</v>
      </c>
      <c r="I53" s="45"/>
      <c r="J53" s="14" t="s">
        <v>386</v>
      </c>
      <c r="K53" s="14"/>
      <c r="L53" s="103" t="n">
        <v>1</v>
      </c>
      <c r="M53" s="45"/>
      <c r="N53" s="61" t="s">
        <v>328</v>
      </c>
      <c r="O53" s="61"/>
      <c r="P53" s="141" t="n">
        <f aca="false">FLOOR(P51,1)*R45</f>
        <v>16180.19</v>
      </c>
      <c r="Q53" s="61"/>
      <c r="R53" s="61"/>
      <c r="S53" s="45"/>
      <c r="T53" s="45"/>
      <c r="U53" s="45"/>
    </row>
    <row r="54" customFormat="false" ht="14.4" hidden="false" customHeight="false" outlineLevel="0" collapsed="false">
      <c r="A54" s="1"/>
      <c r="B54" s="20" t="s">
        <v>387</v>
      </c>
      <c r="C54" s="72"/>
      <c r="D54" s="72"/>
      <c r="E54" s="72"/>
      <c r="F54" s="72"/>
      <c r="G54" s="72" t="n">
        <f aca="true">IFERROR(INDEX(INDIRECT(G45&amp;"Table"),MATCH(G46,INDIRECT(G45&amp;"Table"&amp;"[Name]"),0),COLUMN(INDIRECT(G45&amp;"Table"&amp;"["&amp;B54&amp;"]"))),0)*IF(C49=0,0,1)</f>
        <v>35</v>
      </c>
      <c r="H54" s="72" t="n">
        <f aca="true">IFERROR(INDEX(INDIRECT(H45&amp;"Table"),MATCH(H46,INDIRECT(H45&amp;"Table"&amp;"[Name]"),0),COLUMN(INDIRECT(H45&amp;"Table"&amp;"["&amp;B54&amp;"]"))),0)*IF(C50=0,0,1)</f>
        <v>0</v>
      </c>
      <c r="I54" s="45"/>
      <c r="J54" s="61" t="s">
        <v>388</v>
      </c>
      <c r="K54" s="76"/>
      <c r="L54" s="72" t="n">
        <f aca="false">((100+C55*L52)/100)*C49*G51*L51*L53*IF(B44="None",0,1)</f>
        <v>963.625</v>
      </c>
      <c r="M54" s="45"/>
      <c r="N54" s="61" t="s">
        <v>389</v>
      </c>
      <c r="O54" s="61"/>
      <c r="P54" s="141" t="n">
        <f aca="false">P53/P50</f>
        <v>4463.42098428571</v>
      </c>
      <c r="Q54" s="61"/>
      <c r="R54" s="61"/>
      <c r="S54" s="45"/>
      <c r="T54" s="45"/>
      <c r="U54" s="45"/>
    </row>
    <row r="55" customFormat="false" ht="14.4" hidden="false" customHeight="false" outlineLevel="0" collapsed="false">
      <c r="A55" s="1"/>
      <c r="B55" s="20" t="s">
        <v>199</v>
      </c>
      <c r="C55" s="72" t="n">
        <f aca="false">SUM(C47:H47)</f>
        <v>493</v>
      </c>
      <c r="D55" s="72" t="s">
        <v>390</v>
      </c>
      <c r="E55" s="72" t="n">
        <f aca="false">COUNTIF(G54:H54,"&gt;0")*IF(B44="None",0,1)*L51</f>
        <v>1</v>
      </c>
      <c r="F55" s="72"/>
      <c r="G55" s="72"/>
      <c r="H55" s="72"/>
      <c r="I55" s="45"/>
      <c r="J55" s="61" t="s">
        <v>391</v>
      </c>
      <c r="K55" s="76"/>
      <c r="L55" s="72" t="n">
        <f aca="false">((100+C55*L52)/100)*C50*H51*L51*L53*IF(B44="None",0,1)</f>
        <v>0</v>
      </c>
      <c r="M55" s="45"/>
      <c r="N55" s="61"/>
      <c r="O55" s="61"/>
      <c r="P55" s="61"/>
      <c r="Q55" s="61"/>
      <c r="R55" s="61"/>
      <c r="S55" s="45"/>
      <c r="T55" s="45"/>
      <c r="U55" s="45"/>
    </row>
    <row r="56" customFormat="false" ht="14.4" hidden="false" customHeight="false" outlineLevel="0" collapsed="false">
      <c r="A56" s="1"/>
      <c r="B56" s="20"/>
      <c r="C56" s="72"/>
      <c r="D56" s="72"/>
      <c r="E56" s="72"/>
      <c r="F56" s="72"/>
      <c r="G56" s="72"/>
      <c r="H56" s="72"/>
      <c r="I56" s="45"/>
      <c r="J56" s="72"/>
      <c r="K56" s="72"/>
      <c r="L56" s="72"/>
      <c r="M56" s="45"/>
      <c r="N56" s="61"/>
      <c r="O56" s="61"/>
      <c r="P56" s="61"/>
      <c r="Q56" s="61"/>
      <c r="R56" s="61"/>
      <c r="S56" s="45"/>
      <c r="T56" s="45"/>
      <c r="U56" s="45"/>
    </row>
    <row r="57" customFormat="false" ht="14.4" hidden="false" customHeight="false" outlineLevel="0" collapsed="false">
      <c r="A57" s="1"/>
      <c r="B57" s="45"/>
      <c r="C57" s="45"/>
      <c r="D57" s="45"/>
      <c r="E57" s="45"/>
      <c r="F57" s="45"/>
      <c r="G57" s="45"/>
      <c r="H57" s="45"/>
      <c r="I57" s="45"/>
      <c r="J57" s="45"/>
      <c r="K57" s="45"/>
      <c r="L57" s="45"/>
      <c r="M57" s="45"/>
      <c r="N57" s="45"/>
      <c r="O57" s="45"/>
      <c r="P57" s="45"/>
      <c r="Q57" s="45"/>
      <c r="R57" s="45"/>
      <c r="S57" s="45"/>
      <c r="T57" s="45"/>
      <c r="U57" s="45"/>
    </row>
    <row r="58" customFormat="false" ht="14.4" hidden="false" customHeight="false" outlineLevel="0" collapsed="false">
      <c r="A58" s="1"/>
      <c r="B58" s="56" t="s">
        <v>121</v>
      </c>
      <c r="C58" s="15" t="s">
        <v>396</v>
      </c>
      <c r="D58" s="57" t="s">
        <v>116</v>
      </c>
      <c r="E58" s="57" t="s">
        <v>117</v>
      </c>
      <c r="F58" s="57" t="s">
        <v>365</v>
      </c>
      <c r="G58" s="57" t="s">
        <v>366</v>
      </c>
      <c r="H58" s="57" t="s">
        <v>367</v>
      </c>
      <c r="I58" s="45"/>
      <c r="J58" s="34" t="s">
        <v>368</v>
      </c>
      <c r="K58" s="34"/>
      <c r="L58" s="34"/>
      <c r="M58" s="140"/>
      <c r="N58" s="61" t="s">
        <v>369</v>
      </c>
      <c r="O58" s="61"/>
      <c r="P58" s="72" t="n">
        <f aca="false">SUM($G$12:$H$12)*$L$9+SUM($G$26:$H$26)*$L$23+SUM($G$40:$H$40)*$L$37+SUM($G$54:$H$54)*$L$51+SUM($G$68:$H$68)*$L$65+SUM($G$82:$H$82)*$L$79</f>
        <v>315</v>
      </c>
      <c r="Q58" s="61" t="s">
        <v>370</v>
      </c>
      <c r="R58" s="72" t="n">
        <f aca="false">$J$88</f>
        <v>1</v>
      </c>
      <c r="S58" s="45"/>
      <c r="T58" s="45"/>
      <c r="U58" s="45"/>
    </row>
    <row r="59" customFormat="false" ht="14.4" hidden="false" customHeight="false" outlineLevel="0" collapsed="false">
      <c r="A59" s="1"/>
      <c r="B59" s="20" t="s">
        <v>96</v>
      </c>
      <c r="C59" s="60" t="str">
        <f aca="false">IFERROR(INDEX(SType[],MATCH(C60,SType[Ship],0),COLUMN(SType[Type])),0)</f>
        <v>LightCruiser</v>
      </c>
      <c r="D59" s="56" t="s">
        <v>247</v>
      </c>
      <c r="E59" s="56" t="s">
        <v>120</v>
      </c>
      <c r="F59" s="56" t="s">
        <v>120</v>
      </c>
      <c r="G59" s="56" t="s">
        <v>50</v>
      </c>
      <c r="H59" s="56" t="s">
        <v>50</v>
      </c>
      <c r="I59" s="45"/>
      <c r="J59" s="61" t="s">
        <v>195</v>
      </c>
      <c r="K59" s="62"/>
      <c r="L59" s="72" t="n">
        <f aca="false">SQRT(200/(100+(1+L64)*SUM(C62:H62)))*IF(B58="None",0,1)</f>
        <v>0.826192384772028</v>
      </c>
      <c r="M59" s="45"/>
      <c r="N59" s="61" t="s">
        <v>371</v>
      </c>
      <c r="O59" s="61"/>
      <c r="P59" s="72" t="n">
        <f aca="false">SUM($E$13,$E$27,$E$41,$E$69,$E$83,$E$55)</f>
        <v>9</v>
      </c>
      <c r="Q59" s="61" t="s">
        <v>372</v>
      </c>
      <c r="R59" s="72" t="n">
        <f aca="false">SUM($L$12,$L$13,$L$26,$L$27,$L$40,$L$41,$L$54,$L$55,$L$68,$L$69,$L$82,$L$83)*$R$2</f>
        <v>8090.095</v>
      </c>
      <c r="S59" s="45"/>
      <c r="T59" s="45"/>
      <c r="U59" s="45"/>
    </row>
    <row r="60" customFormat="false" ht="14.4" hidden="false" customHeight="false" outlineLevel="0" collapsed="false">
      <c r="A60" s="1"/>
      <c r="B60" s="20" t="s">
        <v>97</v>
      </c>
      <c r="C60" s="60" t="str">
        <f aca="false">IFERROR(INDEX(Base[],MATCH(C58,Base[Akashi],0),COLUMN(Base[AR])),0)</f>
        <v>CL</v>
      </c>
      <c r="D60" s="15" t="s">
        <v>36</v>
      </c>
      <c r="E60" s="15" t="s">
        <v>373</v>
      </c>
      <c r="F60" s="15" t="s">
        <v>373</v>
      </c>
      <c r="G60" s="15" t="s">
        <v>374</v>
      </c>
      <c r="H60" s="15" t="s">
        <v>374</v>
      </c>
      <c r="I60" s="45"/>
      <c r="J60" s="61" t="s">
        <v>375</v>
      </c>
      <c r="K60" s="62"/>
      <c r="L60" s="72" t="n">
        <f aca="false">G67*L59*IF(B58="None",0,1)</f>
        <v>1.12362164328996</v>
      </c>
      <c r="M60" s="45"/>
      <c r="N60" s="61" t="s">
        <v>376</v>
      </c>
      <c r="O60" s="61"/>
      <c r="P60" s="72" t="n">
        <f aca="false">P58/P59</f>
        <v>35</v>
      </c>
      <c r="Q60" s="61" t="s">
        <v>377</v>
      </c>
      <c r="R60" s="72" t="n">
        <f aca="false">R59/P61</f>
        <v>4897.45283953293</v>
      </c>
      <c r="S60" s="45"/>
      <c r="T60" s="45"/>
      <c r="U60" s="45"/>
    </row>
    <row r="61" customFormat="false" ht="14.4" hidden="false" customHeight="false" outlineLevel="0" collapsed="false">
      <c r="A61" s="1"/>
      <c r="B61" s="20" t="s">
        <v>50</v>
      </c>
      <c r="C61" s="72" t="n">
        <f aca="true">IFERROR(INDEX(INDIRECT(C59&amp;"Table"),MATCH(C58,INDIRECT(C59&amp;"Table"&amp;"[Name]"),0),COLUMN(INDIRECT(C59&amp;"Table"&amp;"["&amp;B61&amp;"]"))),0)*IF(B58="None",0,1)</f>
        <v>333</v>
      </c>
      <c r="D61" s="72" t="n">
        <f aca="true">IFERROR(INDEX(INDIRECT(D59&amp;"Table"),MATCH(D60,INDIRECT(D59&amp;"Table"&amp;"[Name]"),0),COLUMN(INDIRECT(D59&amp;"Table"&amp;"["&amp;B61&amp;"]"))),0)</f>
        <v>0</v>
      </c>
      <c r="E61" s="72" t="n">
        <f aca="true">IFERROR(INDEX(INDIRECT(E59&amp;"Table"),MATCH(E60,INDIRECT(E59&amp;"Table"&amp;"[Name]"),0),COLUMN(INDIRECT(E59&amp;"Table"&amp;"["&amp;$B$5&amp;"]"))),0)</f>
        <v>100</v>
      </c>
      <c r="F61" s="72" t="n">
        <f aca="true">IFERROR(INDEX(INDIRECT(F59&amp;"Table"),MATCH(F60,INDIRECT(F59&amp;"Table"&amp;"[Name]"),0),COLUMN(INDIRECT(F59&amp;"Table"&amp;"["&amp;B61&amp;"]"))),0)</f>
        <v>100</v>
      </c>
      <c r="G61" s="72" t="n">
        <f aca="true">IFERROR(INDEX(INDIRECT(G59&amp;"Table"),MATCH(G60,INDIRECT(G59&amp;"Table"&amp;"[Name]"),0),COLUMN(INDIRECT(G59&amp;"Table"&amp;"["&amp;B61&amp;"]"))),0)*IF(C63=0,0,1)</f>
        <v>45</v>
      </c>
      <c r="H61" s="72" t="n">
        <f aca="true">IFERROR(INDEX(INDIRECT(H59&amp;"Table"),MATCH(H60,INDIRECT(H59&amp;"Table"&amp;"[Name]"),0),COLUMN(INDIRECT(H59&amp;"Table"&amp;"["&amp;B61&amp;"]"))),0)*IF(C64=0,0,1)</f>
        <v>0</v>
      </c>
      <c r="I61" s="45"/>
      <c r="J61" s="61" t="s">
        <v>378</v>
      </c>
      <c r="K61" s="76"/>
      <c r="L61" s="72" t="n">
        <f aca="false">H67*L59*IF(B58="None",0,1)</f>
        <v>0</v>
      </c>
      <c r="M61" s="45"/>
      <c r="N61" s="61" t="s">
        <v>379</v>
      </c>
      <c r="O61" s="61"/>
      <c r="P61" s="72" t="n">
        <f aca="false">(SUM($L$4,$L$5)*$L$9+SUM($L$18,$L$19)*$L$23+SUM($L$32,$L$33)*$L$37+SUM($L$46,$L$47)*$L$51+SUM($L$60,$L$61)*$L$65+SUM($L$74,$L$75)*$L$79)/P59+0.5</f>
        <v>1.65189850011329</v>
      </c>
      <c r="Q61" s="61"/>
      <c r="R61" s="61"/>
      <c r="S61" s="45"/>
      <c r="T61" s="45"/>
      <c r="U61" s="45"/>
    </row>
    <row r="62" customFormat="false" ht="14.4" hidden="false" customHeight="false" outlineLevel="0" collapsed="false">
      <c r="A62" s="1"/>
      <c r="B62" s="20" t="s">
        <v>100</v>
      </c>
      <c r="C62" s="72" t="n">
        <f aca="true">IFERROR(INDEX(INDIRECT(C59&amp;"Table"),MATCH(C58,INDIRECT(C59&amp;"Table"&amp;"[Name]"),0),COLUMN(INDIRECT(C59&amp;"Table"&amp;"["&amp;B62&amp;"]"))),0)*IF(B58="None",0,1)</f>
        <v>193</v>
      </c>
      <c r="D62" s="72" t="n">
        <f aca="true">IFERROR(INDEX(INDIRECT(D59&amp;"Table"),MATCH(D60,INDIRECT(D59&amp;"Table"&amp;"[Name]"),0),COLUMN(INDIRECT(D59&amp;"Table"&amp;"["&amp;B62&amp;"]"))),0)</f>
        <v>0</v>
      </c>
      <c r="E62" s="72" t="n">
        <f aca="true">IFERROR(INDEX(INDIRECT(E59&amp;"Table"),MATCH(E60,INDIRECT(E59&amp;"Table"&amp;"[Name]"),0),COLUMN(INDIRECT(E59&amp;"Table"&amp;"["&amp;B62&amp;"]"))),0)</f>
        <v>0</v>
      </c>
      <c r="F62" s="72" t="n">
        <f aca="true">IFERROR(INDEX(INDIRECT(F59&amp;"Table"),MATCH($F$4,INDIRECT(F59&amp;"Table"&amp;"[Name]"),0),COLUMN(INDIRECT(F59&amp;"Table"&amp;"["&amp;B62&amp;"]"))),0)</f>
        <v>0</v>
      </c>
      <c r="G62" s="72" t="n">
        <f aca="true">IFERROR(INDEX(INDIRECT(G59&amp;"Table"),MATCH(G60,INDIRECT(G59&amp;"Table"&amp;"[Name]"),0),COLUMN(INDIRECT(G59&amp;"Table"&amp;"["&amp;B62&amp;"]"))),0)</f>
        <v>0</v>
      </c>
      <c r="H62" s="72" t="n">
        <f aca="true">IFERROR(INDEX(INDIRECT(H59&amp;"Table"),MATCH(H60,INDIRECT(H59&amp;"Table"&amp;"[Name]"),0),COLUMN(INDIRECT(H59&amp;"Table"&amp;"["&amp;B62&amp;"]"))),0)</f>
        <v>0</v>
      </c>
      <c r="I62" s="45"/>
      <c r="J62" s="61"/>
      <c r="K62" s="72"/>
      <c r="L62" s="72"/>
      <c r="M62" s="45"/>
      <c r="N62" s="61"/>
      <c r="O62" s="61"/>
      <c r="P62" s="61"/>
      <c r="Q62" s="61"/>
      <c r="R62" s="61"/>
      <c r="S62" s="45"/>
      <c r="T62" s="45"/>
      <c r="U62" s="45"/>
    </row>
    <row r="63" customFormat="false" ht="14.4" hidden="false" customHeight="false" outlineLevel="0" collapsed="false">
      <c r="A63" s="1"/>
      <c r="B63" s="20" t="s">
        <v>380</v>
      </c>
      <c r="C63" s="72" t="n">
        <f aca="true">IFERROR(INDEX(INDIRECT(C59&amp;"Table"),MATCH(C58,INDIRECT(C59&amp;"Table"&amp;"[Name]"),0),COLUMN(INDIRECT(C59&amp;"Table"&amp;"["&amp;B63&amp;"]"))),0)*IF(B58="None",0,1)</f>
        <v>1.2</v>
      </c>
      <c r="D63" s="72" t="n">
        <f aca="true">IFERROR(INDEX(INDIRECT(D59&amp;"Table"),MATCH(D60,INDIRECT(D59&amp;"Table"&amp;"[Name]"),0),COLUMN(INDIRECT(D59&amp;"Table"&amp;"["&amp;B63&amp;"]"))),0)</f>
        <v>0</v>
      </c>
      <c r="E63" s="72" t="n">
        <f aca="true">IFERROR(INDEX(INDIRECT(E59&amp;"Table"),MATCH(E60,INDIRECT(E59&amp;"Table"&amp;"[Name]"),0),COLUMN(INDIRECT(E59&amp;"Table"&amp;"["&amp;B63&amp;"]"))),0)</f>
        <v>0</v>
      </c>
      <c r="F63" s="72" t="n">
        <f aca="true">IFERROR(INDEX(INDIRECT(F59&amp;"Table"),MATCH(F60,INDIRECT(F59&amp;"Table"&amp;"[Name]"),0),COLUMN(INDIRECT(F59&amp;"Table"&amp;"["&amp;B63&amp;"]"))),0)</f>
        <v>0</v>
      </c>
      <c r="G63" s="72" t="n">
        <f aca="true">IFERROR(INDEX(INDIRECT(G59&amp;"Table"),MATCH(G60,INDIRECT(G59&amp;"Table"&amp;"[Name]"),0),COLUMN(INDIRECT(G59&amp;"Table"&amp;"["&amp;B63&amp;"]"))),0)</f>
        <v>0</v>
      </c>
      <c r="H63" s="72" t="n">
        <f aca="true">IFERROR(INDEX(INDIRECT(H59&amp;"Table"),MATCH(H60,INDIRECT(H59&amp;"Table"&amp;"[Name]"),0),COLUMN(INDIRECT(H59&amp;"Table"&amp;"["&amp;B63&amp;"]"))),0)</f>
        <v>0</v>
      </c>
      <c r="I63" s="45"/>
      <c r="J63" s="61"/>
      <c r="K63" s="72"/>
      <c r="L63" s="72"/>
      <c r="M63" s="45"/>
      <c r="N63" s="61" t="s">
        <v>381</v>
      </c>
      <c r="O63" s="61"/>
      <c r="P63" s="72" t="n">
        <v>19.31</v>
      </c>
      <c r="Q63" s="61"/>
      <c r="R63" s="61"/>
      <c r="S63" s="45"/>
      <c r="T63" s="45"/>
      <c r="U63" s="45"/>
    </row>
    <row r="64" customFormat="false" ht="14.4" hidden="false" customHeight="false" outlineLevel="0" collapsed="false">
      <c r="A64" s="1"/>
      <c r="B64" s="20" t="s">
        <v>382</v>
      </c>
      <c r="C64" s="72" t="n">
        <f aca="true">IFERROR(INDEX(INDIRECT(C59&amp;"Table"),MATCH(C58,INDIRECT(C59&amp;"Table"&amp;"[Name]"),0),COLUMN(INDIRECT(C59&amp;"Table"&amp;"["&amp;B64&amp;"]"))),0)*IF(B58="None",0,1)</f>
        <v>0</v>
      </c>
      <c r="D64" s="72" t="n">
        <f aca="true">IFERROR(INDEX(INDIRECT(D59&amp;"Table"),MATCH(D60,INDIRECT(D59&amp;"Table"&amp;"[Name]"),0),COLUMN(INDIRECT(D59&amp;"Table"&amp;"["&amp;B64&amp;"]"))),0)</f>
        <v>0</v>
      </c>
      <c r="E64" s="72" t="n">
        <f aca="true">IFERROR(INDEX(INDIRECT(E59&amp;"Table"),MATCH(E60,INDIRECT(E59&amp;"Table"&amp;"[Name]"),0),COLUMN(INDIRECT(E59&amp;"Table"&amp;"["&amp;B64&amp;"]"))),0)</f>
        <v>0</v>
      </c>
      <c r="F64" s="72" t="n">
        <f aca="true">IFERROR(INDEX(INDIRECT(F59&amp;"Table"),MATCH(F60,INDIRECT(F59&amp;"Table"&amp;"[Name]"),0),COLUMN(INDIRECT(F59&amp;"Table"&amp;"["&amp;B64&amp;"]"))),0)</f>
        <v>0</v>
      </c>
      <c r="G64" s="72" t="n">
        <f aca="true">IFERROR(INDEX(INDIRECT(G59&amp;"Table"),MATCH(G60,INDIRECT(G59&amp;"Table"&amp;"[Name]"),0),COLUMN(INDIRECT(G59&amp;"Table"&amp;"["&amp;B64&amp;"]"))),0)</f>
        <v>0</v>
      </c>
      <c r="H64" s="72" t="n">
        <f aca="true">IFERROR(INDEX(INDIRECT(H59&amp;"Table"),MATCH(H60,INDIRECT(H59&amp;"Table"&amp;"[Name]"),0),COLUMN(INDIRECT(H59&amp;"Table"&amp;"["&amp;B64&amp;"]"))),0)</f>
        <v>0</v>
      </c>
      <c r="I64" s="45"/>
      <c r="J64" s="14" t="s">
        <v>271</v>
      </c>
      <c r="K64" s="14"/>
      <c r="L64" s="103" t="n">
        <v>0</v>
      </c>
      <c r="M64" s="45"/>
      <c r="N64" s="61" t="s">
        <v>383</v>
      </c>
      <c r="O64" s="61"/>
      <c r="P64" s="72" t="n">
        <f aca="false">(P60*2)/P63</f>
        <v>3.62506473329881</v>
      </c>
      <c r="Q64" s="61"/>
      <c r="R64" s="61"/>
      <c r="S64" s="45"/>
      <c r="T64" s="45"/>
      <c r="U64" s="45"/>
    </row>
    <row r="65" customFormat="false" ht="14.4" hidden="false" customHeight="false" outlineLevel="0" collapsed="false">
      <c r="A65" s="1"/>
      <c r="B65" s="20" t="s">
        <v>173</v>
      </c>
      <c r="C65" s="72" t="n">
        <v>0</v>
      </c>
      <c r="D65" s="72" t="n">
        <f aca="true">IFERROR(INDEX(INDIRECT(D59&amp;"Table"),MATCH(D60,INDIRECT(D59&amp;"Table"&amp;"[Name]"),0),COLUMN(INDIRECT(D59&amp;"Table"&amp;"["&amp;B65&amp;"]"))),0)</f>
        <v>0</v>
      </c>
      <c r="E65" s="72" t="n">
        <f aca="true">IFERROR(INDEX(INDIRECT(E59&amp;"Table"),MATCH(E60,INDIRECT(E59&amp;"Table"&amp;"[Name]"),0),COLUMN(INDIRECT(E59&amp;"Table"&amp;"["&amp;B65&amp;"]"))),0)</f>
        <v>0</v>
      </c>
      <c r="F65" s="72" t="n">
        <f aca="true">IFERROR(INDEX(INDIRECT(F59&amp;"Table"),MATCH(F60,INDIRECT(F59&amp;"Table"&amp;"[Name]"),0),COLUMN(INDIRECT(F59&amp;"Table"&amp;"["&amp;B65&amp;"]"))),0)</f>
        <v>0</v>
      </c>
      <c r="G65" s="72" t="n">
        <f aca="true">IFERROR(INDEX(INDIRECT(G59&amp;"Table"),MATCH(G60,INDIRECT(G59&amp;"Table"&amp;"[Name]"),0),COLUMN(INDIRECT(G59&amp;"Table"&amp;"["&amp;B65&amp;"]"))),0)*IF(C63=0,0,1)</f>
        <v>130</v>
      </c>
      <c r="H65" s="72" t="n">
        <f aca="true">IFERROR(INDEX(INDIRECT(H59&amp;"Table"),MATCH(H60,INDIRECT(H59&amp;"Table"&amp;"[Name]"),0),COLUMN(INDIRECT(H59&amp;"Table"&amp;"["&amp;B65&amp;"]"))),0)*IF(C64=0,0,1)</f>
        <v>0</v>
      </c>
      <c r="I65" s="45"/>
      <c r="J65" s="14" t="s">
        <v>384</v>
      </c>
      <c r="K65" s="14"/>
      <c r="L65" s="104" t="n">
        <v>1</v>
      </c>
      <c r="M65" s="45"/>
      <c r="N65" s="61" t="s">
        <v>385</v>
      </c>
      <c r="O65" s="61"/>
      <c r="P65" s="72" t="n">
        <f aca="false">$P$8/$P$5</f>
        <v>2.19448394259708</v>
      </c>
      <c r="Q65" s="61"/>
      <c r="R65" s="61"/>
      <c r="S65" s="45"/>
      <c r="T65" s="45"/>
      <c r="U65" s="45"/>
    </row>
    <row r="66" customFormat="false" ht="14.4" hidden="false" customHeight="false" outlineLevel="0" collapsed="false">
      <c r="A66" s="1"/>
      <c r="B66" s="20" t="s">
        <v>179</v>
      </c>
      <c r="C66" s="72" t="n">
        <v>0</v>
      </c>
      <c r="D66" s="72" t="n">
        <f aca="true">IFERROR(INDEX(INDIRECT(D59&amp;"Table"),MATCH(D60,INDIRECT(D59&amp;"Table"&amp;"[Name]"),0),COLUMN(INDIRECT(D59&amp;"Table"&amp;"["&amp;B66&amp;"]"))),0)</f>
        <v>0</v>
      </c>
      <c r="E66" s="72" t="n">
        <f aca="true">IFERROR(INDEX(INDIRECT(E59&amp;"Table"),MATCH(E60,INDIRECT(E59&amp;"Table"&amp;"[Name]"),0),COLUMN(INDIRECT(E59&amp;"Table"&amp;"["&amp;B66&amp;"]"))),0)</f>
        <v>0</v>
      </c>
      <c r="F66" s="72" t="n">
        <f aca="true">IFERROR(INDEX(INDIRECT(F59&amp;"Table"),MATCH(F60,INDIRECT(F59&amp;"Table"&amp;"[Name]"),0),COLUMN(INDIRECT(F59&amp;"Table"&amp;"["&amp;B66&amp;"]"))),0)</f>
        <v>0</v>
      </c>
      <c r="G66" s="72" t="n">
        <f aca="true">IFERROR(INDEX(INDIRECT(G59&amp;"Table"),MATCH(G60,INDIRECT(G59&amp;"Table"&amp;"[Name]"),0),COLUMN(INDIRECT(G59&amp;"Table"&amp;"["&amp;B66&amp;"]"))),0)</f>
        <v>0</v>
      </c>
      <c r="H66" s="72" t="n">
        <f aca="true">IFERROR(INDEX(INDIRECT(H59&amp;"Table"),MATCH(H60,INDIRECT(H59&amp;"Table"&amp;"[Name]"),0),COLUMN(INDIRECT(H59&amp;"Table"&amp;"["&amp;B66&amp;"]"))),0)</f>
        <v>0</v>
      </c>
      <c r="I66" s="45"/>
      <c r="J66" s="14" t="s">
        <v>79</v>
      </c>
      <c r="K66" s="14"/>
      <c r="L66" s="103" t="n">
        <v>1</v>
      </c>
      <c r="M66" s="45"/>
      <c r="N66" s="61"/>
      <c r="O66" s="61"/>
      <c r="P66" s="61"/>
      <c r="Q66" s="61"/>
      <c r="R66" s="61"/>
      <c r="S66" s="45"/>
      <c r="T66" s="45"/>
      <c r="U66" s="45"/>
    </row>
    <row r="67" customFormat="false" ht="14.4" hidden="false" customHeight="false" outlineLevel="0" collapsed="false">
      <c r="A67" s="1"/>
      <c r="B67" s="20" t="s">
        <v>184</v>
      </c>
      <c r="C67" s="72" t="n">
        <v>0</v>
      </c>
      <c r="D67" s="72" t="n">
        <f aca="true">IFERROR(INDEX(INDIRECT(D59&amp;"Table"),MATCH(D60,INDIRECT(D59&amp;"Table"&amp;"[Name]"),0),COLUMN(INDIRECT(D59&amp;"Table"&amp;"["&amp;B67&amp;"]"))),0)</f>
        <v>0</v>
      </c>
      <c r="E67" s="72" t="n">
        <f aca="true">IFERROR(INDEX(INDIRECT(E59&amp;"Table"),MATCH(E60,INDIRECT(E59&amp;"Table"&amp;"[Name]"),0),COLUMN(INDIRECT(E59&amp;"Table"&amp;"["&amp;B67&amp;"]"))),0)</f>
        <v>0</v>
      </c>
      <c r="F67" s="72" t="n">
        <f aca="true">IFERROR(INDEX(INDIRECT(F59&amp;"Table"),MATCH(F60,INDIRECT(F59&amp;"Table"&amp;"[Name]"),0),COLUMN(INDIRECT(F59&amp;"Table"&amp;"["&amp;B67&amp;"]"))),0)</f>
        <v>0</v>
      </c>
      <c r="G67" s="72" t="n">
        <f aca="true">IFERROR(INDEX(INDIRECT(G59&amp;"Table"),MATCH(G60,INDIRECT(G59&amp;"Table"&amp;"[Name]"),0),COLUMN(INDIRECT(G59&amp;"Table"&amp;"["&amp;B67&amp;"]"))),0)*IF(C63=0,0,1)</f>
        <v>1.36</v>
      </c>
      <c r="H67" s="72" t="n">
        <f aca="true">IFERROR(INDEX(INDIRECT(H59&amp;"Table"),MATCH(H60,INDIRECT(H59&amp;"Table"&amp;"[Name]"),0),COLUMN(INDIRECT(H59&amp;"Table"&amp;"["&amp;B67&amp;"]"))),0)*IF(C64=0,0,1)</f>
        <v>0</v>
      </c>
      <c r="I67" s="45"/>
      <c r="J67" s="14" t="s">
        <v>386</v>
      </c>
      <c r="K67" s="14"/>
      <c r="L67" s="103" t="n">
        <v>1</v>
      </c>
      <c r="M67" s="45"/>
      <c r="N67" s="61" t="s">
        <v>328</v>
      </c>
      <c r="O67" s="61"/>
      <c r="P67" s="141" t="n">
        <f aca="false">FLOOR(P65,1)*R59</f>
        <v>16180.19</v>
      </c>
      <c r="Q67" s="61"/>
      <c r="R67" s="61"/>
      <c r="S67" s="45"/>
      <c r="T67" s="45"/>
      <c r="U67" s="45"/>
    </row>
    <row r="68" customFormat="false" ht="14.4" hidden="false" customHeight="false" outlineLevel="0" collapsed="false">
      <c r="A68" s="1"/>
      <c r="B68" s="20" t="s">
        <v>387</v>
      </c>
      <c r="C68" s="72"/>
      <c r="D68" s="72"/>
      <c r="E68" s="72"/>
      <c r="F68" s="72"/>
      <c r="G68" s="72" t="n">
        <f aca="true">IFERROR(INDEX(INDIRECT(G59&amp;"Table"),MATCH(G60,INDIRECT(G59&amp;"Table"&amp;"[Name]"),0),COLUMN(INDIRECT(G59&amp;"Table"&amp;"["&amp;B68&amp;"]"))),0)*IF(C63=0,0,1)</f>
        <v>35</v>
      </c>
      <c r="H68" s="72" t="n">
        <f aca="true">IFERROR(INDEX(INDIRECT(H59&amp;"Table"),MATCH(H60,INDIRECT(H59&amp;"Table"&amp;"[Name]"),0),COLUMN(INDIRECT(H59&amp;"Table"&amp;"["&amp;B68&amp;"]"))),0)*IF(C64=0,0,1)</f>
        <v>0</v>
      </c>
      <c r="I68" s="45"/>
      <c r="J68" s="61" t="s">
        <v>388</v>
      </c>
      <c r="K68" s="76"/>
      <c r="L68" s="72" t="n">
        <f aca="false">((100+C69*L66)/100)*C63*G65*L65*L67*IF(B58="None",0,1)</f>
        <v>1057.68</v>
      </c>
      <c r="M68" s="45"/>
      <c r="N68" s="61" t="s">
        <v>389</v>
      </c>
      <c r="O68" s="61"/>
      <c r="P68" s="141" t="n">
        <f aca="false">P67/P64</f>
        <v>4463.42098428571</v>
      </c>
      <c r="Q68" s="61"/>
      <c r="R68" s="61"/>
      <c r="S68" s="45"/>
      <c r="T68" s="45"/>
      <c r="U68" s="45"/>
    </row>
    <row r="69" customFormat="false" ht="14.4" hidden="false" customHeight="false" outlineLevel="0" collapsed="false">
      <c r="A69" s="1"/>
      <c r="B69" s="20" t="s">
        <v>199</v>
      </c>
      <c r="C69" s="72" t="n">
        <f aca="false">SUM(C61:H61)</f>
        <v>578</v>
      </c>
      <c r="D69" s="72" t="s">
        <v>390</v>
      </c>
      <c r="E69" s="72" t="n">
        <f aca="false">COUNTIF(G68:H68,"&gt;0")*IF(B58="None",0,1)*L65</f>
        <v>1</v>
      </c>
      <c r="F69" s="72"/>
      <c r="G69" s="72"/>
      <c r="H69" s="72"/>
      <c r="I69" s="45"/>
      <c r="J69" s="61" t="s">
        <v>391</v>
      </c>
      <c r="K69" s="76"/>
      <c r="L69" s="72" t="n">
        <f aca="false">((100+C69*L66)/100)*C64*H65*L65*L67*IF(B58="None",0,1)</f>
        <v>0</v>
      </c>
      <c r="M69" s="45"/>
      <c r="N69" s="61"/>
      <c r="O69" s="61"/>
      <c r="P69" s="61"/>
      <c r="Q69" s="61"/>
      <c r="R69" s="61"/>
      <c r="S69" s="45"/>
      <c r="T69" s="45"/>
      <c r="U69" s="45"/>
    </row>
    <row r="70" customFormat="false" ht="14.4" hidden="false" customHeight="false" outlineLevel="0" collapsed="false">
      <c r="A70" s="1"/>
      <c r="B70" s="20"/>
      <c r="C70" s="72"/>
      <c r="D70" s="72"/>
      <c r="E70" s="72"/>
      <c r="F70" s="72"/>
      <c r="G70" s="72"/>
      <c r="H70" s="72"/>
      <c r="I70" s="45"/>
      <c r="J70" s="72"/>
      <c r="K70" s="72"/>
      <c r="L70" s="72"/>
      <c r="M70" s="45"/>
      <c r="N70" s="61"/>
      <c r="O70" s="61"/>
      <c r="P70" s="61"/>
      <c r="Q70" s="61"/>
      <c r="R70" s="61"/>
      <c r="S70" s="45"/>
      <c r="T70" s="45"/>
      <c r="U70" s="45"/>
    </row>
    <row r="71" customFormat="false" ht="14.4" hidden="false" customHeight="false" outlineLevel="0" collapsed="false">
      <c r="A71" s="1"/>
      <c r="B71" s="45"/>
      <c r="C71" s="45"/>
      <c r="D71" s="45"/>
      <c r="E71" s="45"/>
      <c r="F71" s="45"/>
      <c r="G71" s="45"/>
      <c r="H71" s="45"/>
      <c r="I71" s="45"/>
      <c r="J71" s="45"/>
      <c r="K71" s="45"/>
      <c r="L71" s="45"/>
      <c r="M71" s="45"/>
      <c r="N71" s="45"/>
      <c r="O71" s="45"/>
      <c r="P71" s="45"/>
      <c r="Q71" s="45"/>
      <c r="R71" s="45"/>
      <c r="S71" s="45"/>
      <c r="T71" s="45"/>
      <c r="U71" s="45"/>
    </row>
    <row r="72" customFormat="false" ht="14.4" hidden="false" customHeight="false" outlineLevel="0" collapsed="false">
      <c r="A72" s="1"/>
      <c r="B72" s="56" t="s">
        <v>242</v>
      </c>
      <c r="C72" s="15" t="s">
        <v>243</v>
      </c>
      <c r="D72" s="57" t="s">
        <v>116</v>
      </c>
      <c r="E72" s="57" t="s">
        <v>117</v>
      </c>
      <c r="F72" s="57" t="s">
        <v>365</v>
      </c>
      <c r="G72" s="57" t="s">
        <v>366</v>
      </c>
      <c r="H72" s="57" t="s">
        <v>367</v>
      </c>
      <c r="I72" s="45"/>
      <c r="J72" s="34" t="s">
        <v>368</v>
      </c>
      <c r="K72" s="34"/>
      <c r="L72" s="34"/>
      <c r="M72" s="140"/>
      <c r="N72" s="61" t="s">
        <v>369</v>
      </c>
      <c r="O72" s="61"/>
      <c r="P72" s="72" t="n">
        <f aca="false">SUM($G$12:$H$12)*$L$9+SUM($G$26:$H$26)*$L$23+SUM($G$40:$H$40)*$L$37+SUM($G$54:$H$54)*$L$51+SUM($G$68:$H$68)*$L$65+SUM($G$82:$H$82)*$L$79</f>
        <v>315</v>
      </c>
      <c r="Q72" s="61" t="s">
        <v>370</v>
      </c>
      <c r="R72" s="72" t="n">
        <f aca="false">$J$88</f>
        <v>1</v>
      </c>
      <c r="S72" s="45"/>
      <c r="T72" s="45"/>
      <c r="U72" s="45"/>
    </row>
    <row r="73" customFormat="false" ht="14.4" hidden="false" customHeight="false" outlineLevel="0" collapsed="false">
      <c r="A73" s="1"/>
      <c r="B73" s="20" t="s">
        <v>96</v>
      </c>
      <c r="C73" s="60" t="str">
        <f aca="false">IFERROR(INDEX(SType[],MATCH(C74,SType[Ship],0),COLUMN(SType[Type])),0)</f>
        <v>LightCarrier</v>
      </c>
      <c r="D73" s="56" t="s">
        <v>247</v>
      </c>
      <c r="E73" s="56" t="s">
        <v>120</v>
      </c>
      <c r="F73" s="56" t="s">
        <v>120</v>
      </c>
      <c r="G73" s="56" t="s">
        <v>50</v>
      </c>
      <c r="H73" s="56" t="s">
        <v>50</v>
      </c>
      <c r="I73" s="45"/>
      <c r="J73" s="61" t="s">
        <v>195</v>
      </c>
      <c r="K73" s="62"/>
      <c r="L73" s="72" t="n">
        <f aca="false">SQRT(200/(100+(1+L78)*SUM(C76:H76)))*IF(B72="None",0,1)</f>
        <v>0.843649081219196</v>
      </c>
      <c r="M73" s="45"/>
      <c r="N73" s="61" t="s">
        <v>371</v>
      </c>
      <c r="O73" s="61"/>
      <c r="P73" s="72" t="n">
        <f aca="false">SUM($E$13,$E$27,$E$41,$E$69,$E$83,$E$55)</f>
        <v>9</v>
      </c>
      <c r="Q73" s="61" t="s">
        <v>372</v>
      </c>
      <c r="R73" s="72" t="n">
        <f aca="false">SUM($L$12,$L$13,$L$26,$L$27,$L$40,$L$41,$L$54,$L$55,$L$68,$L$69,$L$82,$L$83)*$R$2</f>
        <v>8090.095</v>
      </c>
      <c r="S73" s="45"/>
      <c r="T73" s="45"/>
      <c r="U73" s="45"/>
    </row>
    <row r="74" customFormat="false" ht="14.4" hidden="false" customHeight="false" outlineLevel="0" collapsed="false">
      <c r="A74" s="1"/>
      <c r="B74" s="20" t="s">
        <v>97</v>
      </c>
      <c r="C74" s="60" t="str">
        <f aca="false">IFERROR(INDEX(Base[],MATCH(C72,Base[Akashi],0),COLUMN(Base[AR])),0)</f>
        <v>CVL</v>
      </c>
      <c r="D74" s="15" t="s">
        <v>36</v>
      </c>
      <c r="E74" s="15" t="s">
        <v>373</v>
      </c>
      <c r="F74" s="15" t="s">
        <v>373</v>
      </c>
      <c r="G74" s="15" t="s">
        <v>374</v>
      </c>
      <c r="H74" s="15" t="s">
        <v>374</v>
      </c>
      <c r="I74" s="45"/>
      <c r="J74" s="61" t="s">
        <v>375</v>
      </c>
      <c r="K74" s="62"/>
      <c r="L74" s="72" t="n">
        <f aca="false">G81*L73*IF(B72="None",0,1)</f>
        <v>1.14736275045811</v>
      </c>
      <c r="M74" s="45"/>
      <c r="N74" s="61" t="s">
        <v>376</v>
      </c>
      <c r="O74" s="61"/>
      <c r="P74" s="72" t="n">
        <f aca="false">P72/P73</f>
        <v>35</v>
      </c>
      <c r="Q74" s="61" t="s">
        <v>377</v>
      </c>
      <c r="R74" s="72" t="n">
        <f aca="false">R73/P75</f>
        <v>4897.45283953293</v>
      </c>
      <c r="S74" s="45"/>
      <c r="T74" s="45"/>
      <c r="U74" s="45"/>
    </row>
    <row r="75" customFormat="false" ht="14.4" hidden="false" customHeight="false" outlineLevel="0" collapsed="false">
      <c r="A75" s="1"/>
      <c r="B75" s="20" t="s">
        <v>50</v>
      </c>
      <c r="C75" s="72" t="n">
        <f aca="true">IFERROR(INDEX(INDIRECT(C73&amp;"Table"),MATCH(C72,INDIRECT(C73&amp;"Table"&amp;"[Name]"),0),COLUMN(INDIRECT(C73&amp;"Table"&amp;"["&amp;B75&amp;"]"))),0)*IF(B72="None",0,1)</f>
        <v>268</v>
      </c>
      <c r="D75" s="72" t="n">
        <f aca="true">IFERROR(INDEX(INDIRECT(D73&amp;"Table"),MATCH(D74,INDIRECT(D73&amp;"Table"&amp;"[Name]"),0),COLUMN(INDIRECT(D73&amp;"Table"&amp;"["&amp;B75&amp;"]"))),0)</f>
        <v>0</v>
      </c>
      <c r="E75" s="72" t="n">
        <f aca="true">IFERROR(INDEX(INDIRECT(E73&amp;"Table"),MATCH(E74,INDIRECT(E73&amp;"Table"&amp;"[Name]"),0),COLUMN(INDIRECT(E73&amp;"Table"&amp;"["&amp;$B$5&amp;"]"))),0)</f>
        <v>100</v>
      </c>
      <c r="F75" s="72" t="n">
        <f aca="true">IFERROR(INDEX(INDIRECT(F73&amp;"Table"),MATCH(F74,INDIRECT(F73&amp;"Table"&amp;"[Name]"),0),COLUMN(INDIRECT(F73&amp;"Table"&amp;"["&amp;B75&amp;"]"))),0)</f>
        <v>100</v>
      </c>
      <c r="G75" s="72" t="n">
        <f aca="true">IFERROR(INDEX(INDIRECT(G73&amp;"Table"),MATCH(G74,INDIRECT(G73&amp;"Table"&amp;"[Name]"),0),COLUMN(INDIRECT(G73&amp;"Table"&amp;"["&amp;B75&amp;"]"))),0)*IF(C77=0,0,1)</f>
        <v>45</v>
      </c>
      <c r="H75" s="72" t="n">
        <f aca="true">IFERROR(INDEX(INDIRECT(H73&amp;"Table"),MATCH(H74,INDIRECT(H73&amp;"Table"&amp;"[Name]"),0),COLUMN(INDIRECT(H73&amp;"Table"&amp;"["&amp;B75&amp;"]"))),0)*IF(C78=0,0,1)</f>
        <v>0</v>
      </c>
      <c r="I75" s="45"/>
      <c r="J75" s="61" t="s">
        <v>378</v>
      </c>
      <c r="K75" s="76"/>
      <c r="L75" s="72" t="n">
        <f aca="false">H81*L73*IF(B72="None",0,1)</f>
        <v>0</v>
      </c>
      <c r="M75" s="45"/>
      <c r="N75" s="61" t="s">
        <v>379</v>
      </c>
      <c r="O75" s="61"/>
      <c r="P75" s="72" t="n">
        <f aca="false">(SUM($L$4,$L$5)*$L$9+SUM($L$18,$L$19)*$L$23+SUM($L$32,$L$33)*$L$37+SUM($L$46,$L$47)*$L$51+SUM($L$60,$L$61)*$L$65+SUM($L$74,$L$75)*$L$79)/P73+0.5</f>
        <v>1.65189850011329</v>
      </c>
      <c r="Q75" s="61"/>
      <c r="R75" s="61"/>
      <c r="S75" s="45"/>
      <c r="T75" s="45"/>
      <c r="U75" s="45"/>
    </row>
    <row r="76" customFormat="false" ht="14.4" hidden="false" customHeight="false" outlineLevel="0" collapsed="false">
      <c r="A76" s="1"/>
      <c r="B76" s="20" t="s">
        <v>100</v>
      </c>
      <c r="C76" s="72" t="n">
        <f aca="true">IFERROR(INDEX(INDIRECT(C73&amp;"Table"),MATCH(C72,INDIRECT(C73&amp;"Table"&amp;"[Name]"),0),COLUMN(INDIRECT(C73&amp;"Table"&amp;"["&amp;B76&amp;"]"))),0)*IF(B72="None",0,1)</f>
        <v>181</v>
      </c>
      <c r="D76" s="72" t="n">
        <f aca="true">IFERROR(INDEX(INDIRECT(D73&amp;"Table"),MATCH(D74,INDIRECT(D73&amp;"Table"&amp;"[Name]"),0),COLUMN(INDIRECT(D73&amp;"Table"&amp;"["&amp;B76&amp;"]"))),0)</f>
        <v>0</v>
      </c>
      <c r="E76" s="72" t="n">
        <f aca="true">IFERROR(INDEX(INDIRECT(E73&amp;"Table"),MATCH(E74,INDIRECT(E73&amp;"Table"&amp;"[Name]"),0),COLUMN(INDIRECT(E73&amp;"Table"&amp;"["&amp;B76&amp;"]"))),0)</f>
        <v>0</v>
      </c>
      <c r="F76" s="72" t="n">
        <f aca="true">IFERROR(INDEX(INDIRECT(F73&amp;"Table"),MATCH($F$4,INDIRECT(F73&amp;"Table"&amp;"[Name]"),0),COLUMN(INDIRECT(F73&amp;"Table"&amp;"["&amp;B76&amp;"]"))),0)</f>
        <v>0</v>
      </c>
      <c r="G76" s="72" t="n">
        <f aca="true">IFERROR(INDEX(INDIRECT(G73&amp;"Table"),MATCH(G74,INDIRECT(G73&amp;"Table"&amp;"[Name]"),0),COLUMN(INDIRECT(G73&amp;"Table"&amp;"["&amp;B76&amp;"]"))),0)</f>
        <v>0</v>
      </c>
      <c r="H76" s="72" t="n">
        <f aca="true">IFERROR(INDEX(INDIRECT(H73&amp;"Table"),MATCH(H74,INDIRECT(H73&amp;"Table"&amp;"[Name]"),0),COLUMN(INDIRECT(H73&amp;"Table"&amp;"["&amp;B76&amp;"]"))),0)</f>
        <v>0</v>
      </c>
      <c r="I76" s="45"/>
      <c r="J76" s="61"/>
      <c r="K76" s="72"/>
      <c r="L76" s="72"/>
      <c r="M76" s="45"/>
      <c r="N76" s="61"/>
      <c r="O76" s="61"/>
      <c r="P76" s="61"/>
      <c r="Q76" s="61"/>
      <c r="R76" s="61"/>
      <c r="S76" s="45"/>
      <c r="T76" s="45"/>
      <c r="U76" s="45"/>
    </row>
    <row r="77" customFormat="false" ht="14.4" hidden="false" customHeight="false" outlineLevel="0" collapsed="false">
      <c r="A77" s="1"/>
      <c r="B77" s="20" t="s">
        <v>380</v>
      </c>
      <c r="C77" s="72" t="n">
        <f aca="true">IFERROR(INDEX(INDIRECT(C73&amp;"Table"),MATCH(C72,INDIRECT(C73&amp;"Table"&amp;"[Name]"),0),COLUMN(INDIRECT(C73&amp;"Table"&amp;"["&amp;B77&amp;"]"))),0)*IF(B72="None",0,1)</f>
        <v>0.8</v>
      </c>
      <c r="D77" s="72" t="n">
        <f aca="true">IFERROR(INDEX(INDIRECT(D73&amp;"Table"),MATCH(D74,INDIRECT(D73&amp;"Table"&amp;"[Name]"),0),COLUMN(INDIRECT(D73&amp;"Table"&amp;"["&amp;B77&amp;"]"))),0)</f>
        <v>0</v>
      </c>
      <c r="E77" s="72" t="n">
        <f aca="true">IFERROR(INDEX(INDIRECT(E73&amp;"Table"),MATCH(E74,INDIRECT(E73&amp;"Table"&amp;"[Name]"),0),COLUMN(INDIRECT(E73&amp;"Table"&amp;"["&amp;B77&amp;"]"))),0)</f>
        <v>0</v>
      </c>
      <c r="F77" s="72" t="n">
        <f aca="true">IFERROR(INDEX(INDIRECT(F73&amp;"Table"),MATCH(F74,INDIRECT(F73&amp;"Table"&amp;"[Name]"),0),COLUMN(INDIRECT(F73&amp;"Table"&amp;"["&amp;B77&amp;"]"))),0)</f>
        <v>0</v>
      </c>
      <c r="G77" s="72" t="n">
        <f aca="true">IFERROR(INDEX(INDIRECT(G73&amp;"Table"),MATCH(G74,INDIRECT(G73&amp;"Table"&amp;"[Name]"),0),COLUMN(INDIRECT(G73&amp;"Table"&amp;"["&amp;B77&amp;"]"))),0)</f>
        <v>0</v>
      </c>
      <c r="H77" s="72" t="n">
        <f aca="true">IFERROR(INDEX(INDIRECT(H73&amp;"Table"),MATCH(H74,INDIRECT(H73&amp;"Table"&amp;"[Name]"),0),COLUMN(INDIRECT(H73&amp;"Table"&amp;"["&amp;B77&amp;"]"))),0)</f>
        <v>0</v>
      </c>
      <c r="I77" s="45"/>
      <c r="J77" s="61"/>
      <c r="K77" s="72"/>
      <c r="L77" s="72"/>
      <c r="M77" s="45"/>
      <c r="N77" s="61" t="s">
        <v>381</v>
      </c>
      <c r="O77" s="61"/>
      <c r="P77" s="72" t="n">
        <v>19.31</v>
      </c>
      <c r="Q77" s="61"/>
      <c r="R77" s="61"/>
      <c r="S77" s="45"/>
      <c r="T77" s="45"/>
      <c r="U77" s="45"/>
    </row>
    <row r="78" customFormat="false" ht="14.4" hidden="false" customHeight="false" outlineLevel="0" collapsed="false">
      <c r="A78" s="1"/>
      <c r="B78" s="20" t="s">
        <v>382</v>
      </c>
      <c r="C78" s="72" t="n">
        <f aca="true">IFERROR(INDEX(INDIRECT(C73&amp;"Table"),MATCH(C72,INDIRECT(C73&amp;"Table"&amp;"[Name]"),0),COLUMN(INDIRECT(C73&amp;"Table"&amp;"["&amp;B78&amp;"]"))),0)*IF(B72="None",0,1)</f>
        <v>0</v>
      </c>
      <c r="D78" s="72" t="n">
        <f aca="true">IFERROR(INDEX(INDIRECT(D73&amp;"Table"),MATCH(D74,INDIRECT(D73&amp;"Table"&amp;"[Name]"),0),COLUMN(INDIRECT(D73&amp;"Table"&amp;"["&amp;B78&amp;"]"))),0)</f>
        <v>0</v>
      </c>
      <c r="E78" s="72" t="n">
        <f aca="true">IFERROR(INDEX(INDIRECT(E73&amp;"Table"),MATCH(E74,INDIRECT(E73&amp;"Table"&amp;"[Name]"),0),COLUMN(INDIRECT(E73&amp;"Table"&amp;"["&amp;B78&amp;"]"))),0)</f>
        <v>0</v>
      </c>
      <c r="F78" s="72" t="n">
        <f aca="true">IFERROR(INDEX(INDIRECT(F73&amp;"Table"),MATCH(F74,INDIRECT(F73&amp;"Table"&amp;"[Name]"),0),COLUMN(INDIRECT(F73&amp;"Table"&amp;"["&amp;B78&amp;"]"))),0)</f>
        <v>0</v>
      </c>
      <c r="G78" s="72" t="n">
        <f aca="true">IFERROR(INDEX(INDIRECT(G73&amp;"Table"),MATCH(G74,INDIRECT(G73&amp;"Table"&amp;"[Name]"),0),COLUMN(INDIRECT(G73&amp;"Table"&amp;"["&amp;B78&amp;"]"))),0)</f>
        <v>0</v>
      </c>
      <c r="H78" s="72" t="n">
        <f aca="true">IFERROR(INDEX(INDIRECT(H73&amp;"Table"),MATCH(H74,INDIRECT(H73&amp;"Table"&amp;"[Name]"),0),COLUMN(INDIRECT(H73&amp;"Table"&amp;"["&amp;B78&amp;"]"))),0)</f>
        <v>0</v>
      </c>
      <c r="I78" s="45"/>
      <c r="J78" s="14" t="s">
        <v>271</v>
      </c>
      <c r="K78" s="14"/>
      <c r="L78" s="103" t="n">
        <v>0</v>
      </c>
      <c r="M78" s="45"/>
      <c r="N78" s="61" t="s">
        <v>383</v>
      </c>
      <c r="O78" s="61"/>
      <c r="P78" s="72" t="n">
        <f aca="false">(P74*2)/P77</f>
        <v>3.62506473329881</v>
      </c>
      <c r="Q78" s="61"/>
      <c r="R78" s="61"/>
      <c r="S78" s="45"/>
      <c r="T78" s="45"/>
      <c r="U78" s="45"/>
    </row>
    <row r="79" customFormat="false" ht="14.4" hidden="false" customHeight="false" outlineLevel="0" collapsed="false">
      <c r="A79" s="1"/>
      <c r="B79" s="20" t="s">
        <v>173</v>
      </c>
      <c r="C79" s="72" t="n">
        <v>0</v>
      </c>
      <c r="D79" s="72" t="n">
        <f aca="true">IFERROR(INDEX(INDIRECT(D73&amp;"Table"),MATCH(D74,INDIRECT(D73&amp;"Table"&amp;"[Name]"),0),COLUMN(INDIRECT(D73&amp;"Table"&amp;"["&amp;B79&amp;"]"))),0)</f>
        <v>0</v>
      </c>
      <c r="E79" s="72" t="n">
        <f aca="true">IFERROR(INDEX(INDIRECT(E73&amp;"Table"),MATCH(E74,INDIRECT(E73&amp;"Table"&amp;"[Name]"),0),COLUMN(INDIRECT(E73&amp;"Table"&amp;"["&amp;B79&amp;"]"))),0)</f>
        <v>0</v>
      </c>
      <c r="F79" s="72" t="n">
        <f aca="true">IFERROR(INDEX(INDIRECT(F73&amp;"Table"),MATCH(F74,INDIRECT(F73&amp;"Table"&amp;"[Name]"),0),COLUMN(INDIRECT(F73&amp;"Table"&amp;"["&amp;B79&amp;"]"))),0)</f>
        <v>0</v>
      </c>
      <c r="G79" s="72" t="n">
        <f aca="true">IFERROR(INDEX(INDIRECT(G73&amp;"Table"),MATCH(G74,INDIRECT(G73&amp;"Table"&amp;"[Name]"),0),COLUMN(INDIRECT(G73&amp;"Table"&amp;"["&amp;B79&amp;"]"))),0)*IF(C77=0,0,1)</f>
        <v>130</v>
      </c>
      <c r="H79" s="72" t="n">
        <f aca="true">IFERROR(INDEX(INDIRECT(H73&amp;"Table"),MATCH(H74,INDIRECT(H73&amp;"Table"&amp;"[Name]"),0),COLUMN(INDIRECT(H73&amp;"Table"&amp;"["&amp;B79&amp;"]"))),0)*IF(C78=0,0,1)</f>
        <v>0</v>
      </c>
      <c r="I79" s="45"/>
      <c r="J79" s="14" t="s">
        <v>384</v>
      </c>
      <c r="K79" s="14"/>
      <c r="L79" s="104" t="n">
        <v>1</v>
      </c>
      <c r="M79" s="45"/>
      <c r="N79" s="61" t="s">
        <v>385</v>
      </c>
      <c r="O79" s="61"/>
      <c r="P79" s="72" t="n">
        <f aca="false">$P$8/$P$5</f>
        <v>2.19448394259708</v>
      </c>
      <c r="Q79" s="61"/>
      <c r="R79" s="61"/>
      <c r="S79" s="45"/>
      <c r="T79" s="45"/>
      <c r="U79" s="45"/>
    </row>
    <row r="80" customFormat="false" ht="14.4" hidden="false" customHeight="false" outlineLevel="0" collapsed="false">
      <c r="A80" s="1"/>
      <c r="B80" s="20" t="s">
        <v>179</v>
      </c>
      <c r="C80" s="72" t="n">
        <v>0</v>
      </c>
      <c r="D80" s="72" t="n">
        <f aca="true">IFERROR(INDEX(INDIRECT(D73&amp;"Table"),MATCH(D74,INDIRECT(D73&amp;"Table"&amp;"[Name]"),0),COLUMN(INDIRECT(D73&amp;"Table"&amp;"["&amp;B80&amp;"]"))),0)</f>
        <v>0</v>
      </c>
      <c r="E80" s="72" t="n">
        <f aca="true">IFERROR(INDEX(INDIRECT(E73&amp;"Table"),MATCH(E74,INDIRECT(E73&amp;"Table"&amp;"[Name]"),0),COLUMN(INDIRECT(E73&amp;"Table"&amp;"["&amp;B80&amp;"]"))),0)</f>
        <v>0</v>
      </c>
      <c r="F80" s="72" t="n">
        <f aca="true">IFERROR(INDEX(INDIRECT(F73&amp;"Table"),MATCH(F74,INDIRECT(F73&amp;"Table"&amp;"[Name]"),0),COLUMN(INDIRECT(F73&amp;"Table"&amp;"["&amp;B80&amp;"]"))),0)</f>
        <v>0</v>
      </c>
      <c r="G80" s="72" t="n">
        <f aca="true">IFERROR(INDEX(INDIRECT(G73&amp;"Table"),MATCH(G74,INDIRECT(G73&amp;"Table"&amp;"[Name]"),0),COLUMN(INDIRECT(G73&amp;"Table"&amp;"["&amp;B80&amp;"]"))),0)</f>
        <v>0</v>
      </c>
      <c r="H80" s="72" t="n">
        <f aca="true">IFERROR(INDEX(INDIRECT(H73&amp;"Table"),MATCH(H74,INDIRECT(H73&amp;"Table"&amp;"[Name]"),0),COLUMN(INDIRECT(H73&amp;"Table"&amp;"["&amp;B80&amp;"]"))),0)</f>
        <v>0</v>
      </c>
      <c r="I80" s="45"/>
      <c r="J80" s="14" t="s">
        <v>79</v>
      </c>
      <c r="K80" s="14"/>
      <c r="L80" s="103" t="n">
        <v>1</v>
      </c>
      <c r="M80" s="45"/>
      <c r="N80" s="61"/>
      <c r="O80" s="61"/>
      <c r="P80" s="61"/>
      <c r="Q80" s="61"/>
      <c r="R80" s="61"/>
      <c r="S80" s="45"/>
      <c r="T80" s="45"/>
      <c r="U80" s="45"/>
    </row>
    <row r="81" customFormat="false" ht="14.4" hidden="false" customHeight="false" outlineLevel="0" collapsed="false">
      <c r="A81" s="1"/>
      <c r="B81" s="20" t="s">
        <v>184</v>
      </c>
      <c r="C81" s="72" t="n">
        <v>0</v>
      </c>
      <c r="D81" s="72" t="n">
        <f aca="true">IFERROR(INDEX(INDIRECT(D73&amp;"Table"),MATCH(D74,INDIRECT(D73&amp;"Table"&amp;"[Name]"),0),COLUMN(INDIRECT(D73&amp;"Table"&amp;"["&amp;B81&amp;"]"))),0)</f>
        <v>0</v>
      </c>
      <c r="E81" s="72" t="n">
        <f aca="true">IFERROR(INDEX(INDIRECT(E73&amp;"Table"),MATCH(E74,INDIRECT(E73&amp;"Table"&amp;"[Name]"),0),COLUMN(INDIRECT(E73&amp;"Table"&amp;"["&amp;B81&amp;"]"))),0)</f>
        <v>0</v>
      </c>
      <c r="F81" s="72" t="n">
        <f aca="true">IFERROR(INDEX(INDIRECT(F73&amp;"Table"),MATCH(F74,INDIRECT(F73&amp;"Table"&amp;"[Name]"),0),COLUMN(INDIRECT(F73&amp;"Table"&amp;"["&amp;B81&amp;"]"))),0)</f>
        <v>0</v>
      </c>
      <c r="G81" s="72" t="n">
        <f aca="true">IFERROR(INDEX(INDIRECT(G73&amp;"Table"),MATCH(G74,INDIRECT(G73&amp;"Table"&amp;"[Name]"),0),COLUMN(INDIRECT(G73&amp;"Table"&amp;"["&amp;B81&amp;"]"))),0)*IF(C77=0,0,1)</f>
        <v>1.36</v>
      </c>
      <c r="H81" s="72" t="n">
        <f aca="true">IFERROR(INDEX(INDIRECT(H73&amp;"Table"),MATCH(H74,INDIRECT(H73&amp;"Table"&amp;"[Name]"),0),COLUMN(INDIRECT(H73&amp;"Table"&amp;"["&amp;B81&amp;"]"))),0)*IF(C78=0,0,1)</f>
        <v>0</v>
      </c>
      <c r="I81" s="45"/>
      <c r="J81" s="14" t="s">
        <v>386</v>
      </c>
      <c r="K81" s="14"/>
      <c r="L81" s="103" t="n">
        <v>1</v>
      </c>
      <c r="M81" s="45"/>
      <c r="N81" s="61" t="s">
        <v>328</v>
      </c>
      <c r="O81" s="61"/>
      <c r="P81" s="141" t="n">
        <f aca="false">FLOOR(P79,1)*R73</f>
        <v>16180.19</v>
      </c>
      <c r="Q81" s="61"/>
      <c r="R81" s="61"/>
      <c r="S81" s="45"/>
      <c r="T81" s="45"/>
      <c r="U81" s="45"/>
    </row>
    <row r="82" customFormat="false" ht="14.4" hidden="false" customHeight="false" outlineLevel="0" collapsed="false">
      <c r="A82" s="1"/>
      <c r="B82" s="20" t="s">
        <v>387</v>
      </c>
      <c r="C82" s="72"/>
      <c r="D82" s="72"/>
      <c r="E82" s="72"/>
      <c r="F82" s="72"/>
      <c r="G82" s="72" t="n">
        <f aca="true">IFERROR(INDEX(INDIRECT(G73&amp;"Table"),MATCH(G74,INDIRECT(G73&amp;"Table"&amp;"[Name]"),0),COLUMN(INDIRECT(G73&amp;"Table"&amp;"["&amp;B82&amp;"]"))),0)*IF(C77=0,0,1)</f>
        <v>35</v>
      </c>
      <c r="H82" s="72" t="n">
        <f aca="true">IFERROR(INDEX(INDIRECT(H73&amp;"Table"),MATCH(H74,INDIRECT(H73&amp;"Table"&amp;"[Name]"),0),COLUMN(INDIRECT(H73&amp;"Table"&amp;"["&amp;B82&amp;"]"))),0)*IF(C78=0,0,1)</f>
        <v>0</v>
      </c>
      <c r="I82" s="45"/>
      <c r="J82" s="61" t="s">
        <v>388</v>
      </c>
      <c r="K82" s="76"/>
      <c r="L82" s="72" t="n">
        <f aca="false">((100+C83*L80)/100)*C77*G79*L79*L81*IF(B72="None",0,1)</f>
        <v>637.52</v>
      </c>
      <c r="M82" s="45"/>
      <c r="N82" s="61" t="s">
        <v>389</v>
      </c>
      <c r="O82" s="61"/>
      <c r="P82" s="141" t="n">
        <f aca="false">P81/P78</f>
        <v>4463.42098428571</v>
      </c>
      <c r="Q82" s="61"/>
      <c r="R82" s="61"/>
      <c r="S82" s="45"/>
      <c r="T82" s="45"/>
      <c r="U82" s="45"/>
    </row>
    <row r="83" customFormat="false" ht="14.4" hidden="false" customHeight="false" outlineLevel="0" collapsed="false">
      <c r="A83" s="1"/>
      <c r="B83" s="20" t="s">
        <v>199</v>
      </c>
      <c r="C83" s="72" t="n">
        <f aca="false">SUM(C75:H75)</f>
        <v>513</v>
      </c>
      <c r="D83" s="72" t="s">
        <v>390</v>
      </c>
      <c r="E83" s="72" t="n">
        <f aca="false">COUNTIF(G82:H82,"&gt;0")*IF(B72="None",0,1)*L79</f>
        <v>1</v>
      </c>
      <c r="F83" s="72"/>
      <c r="G83" s="72"/>
      <c r="H83" s="72"/>
      <c r="I83" s="45"/>
      <c r="J83" s="61" t="s">
        <v>391</v>
      </c>
      <c r="K83" s="76"/>
      <c r="L83" s="72" t="n">
        <f aca="false">((100+C83*L80)/100)*C78*H79*L79*L81*IF(B72="None",0,1)</f>
        <v>0</v>
      </c>
      <c r="M83" s="45"/>
      <c r="N83" s="61"/>
      <c r="O83" s="61"/>
      <c r="P83" s="61"/>
      <c r="Q83" s="61"/>
      <c r="R83" s="61"/>
      <c r="S83" s="45"/>
      <c r="T83" s="45"/>
      <c r="U83" s="45"/>
    </row>
    <row r="84" customFormat="false" ht="14.4" hidden="false" customHeight="false" outlineLevel="0" collapsed="false">
      <c r="A84" s="1"/>
      <c r="B84" s="20"/>
      <c r="C84" s="72"/>
      <c r="D84" s="72"/>
      <c r="E84" s="72"/>
      <c r="F84" s="72"/>
      <c r="G84" s="72"/>
      <c r="H84" s="72"/>
      <c r="I84" s="45"/>
      <c r="J84" s="72"/>
      <c r="K84" s="72"/>
      <c r="L84" s="72"/>
      <c r="M84" s="45"/>
      <c r="N84" s="61"/>
      <c r="O84" s="61"/>
      <c r="P84" s="61"/>
      <c r="Q84" s="61"/>
      <c r="R84" s="61"/>
      <c r="S84" s="45"/>
      <c r="T84" s="45"/>
      <c r="U84" s="45"/>
    </row>
    <row r="85" customFormat="false" ht="14.4" hidden="false" customHeight="false" outlineLevel="0" collapsed="false">
      <c r="A85" s="1"/>
      <c r="B85" s="45"/>
      <c r="C85" s="45"/>
      <c r="D85" s="45"/>
      <c r="E85" s="45"/>
      <c r="F85" s="45"/>
      <c r="G85" s="45"/>
      <c r="H85" s="45"/>
      <c r="I85" s="45"/>
      <c r="J85" s="45"/>
      <c r="K85" s="45"/>
      <c r="L85" s="45"/>
      <c r="M85" s="45"/>
      <c r="N85" s="45"/>
      <c r="O85" s="45"/>
      <c r="P85" s="45"/>
      <c r="Q85" s="45"/>
      <c r="R85" s="45"/>
      <c r="S85" s="45"/>
      <c r="T85" s="45"/>
      <c r="U85" s="45"/>
    </row>
    <row r="86" customFormat="false" ht="14.4" hidden="false" customHeight="false" outlineLevel="0" collapsed="false">
      <c r="A86" s="1"/>
      <c r="B86" s="14" t="s">
        <v>397</v>
      </c>
      <c r="C86" s="45"/>
      <c r="D86" s="45"/>
      <c r="E86" s="45"/>
      <c r="F86" s="45"/>
      <c r="G86" s="45"/>
      <c r="H86" s="45"/>
      <c r="I86" s="45"/>
      <c r="J86" s="45"/>
      <c r="K86" s="45"/>
      <c r="L86" s="14" t="s">
        <v>398</v>
      </c>
      <c r="M86" s="45"/>
      <c r="N86" s="45"/>
      <c r="O86" s="45"/>
      <c r="P86" s="45"/>
      <c r="Q86" s="45"/>
      <c r="R86" s="45"/>
      <c r="S86" s="45"/>
      <c r="T86" s="45"/>
      <c r="U86" s="45"/>
    </row>
    <row r="87" customFormat="false" ht="14.4" hidden="false" customHeight="false" outlineLevel="0" collapsed="false">
      <c r="A87" s="1"/>
      <c r="B87" s="14" t="s">
        <v>399</v>
      </c>
      <c r="C87" s="14"/>
      <c r="D87" s="104" t="n">
        <v>20</v>
      </c>
      <c r="E87" s="45"/>
      <c r="F87" s="45"/>
      <c r="G87" s="45"/>
      <c r="H87" s="45"/>
      <c r="I87" s="45"/>
      <c r="J87" s="45"/>
      <c r="K87" s="45"/>
      <c r="L87" s="57" t="s">
        <v>399</v>
      </c>
      <c r="M87" s="14"/>
      <c r="N87" s="141" t="n">
        <f aca="false">D87</f>
        <v>20</v>
      </c>
      <c r="O87" s="45"/>
      <c r="P87" s="45"/>
      <c r="Q87" s="45"/>
      <c r="R87" s="45"/>
      <c r="S87" s="45"/>
      <c r="T87" s="45"/>
      <c r="U87" s="45"/>
    </row>
    <row r="88" customFormat="false" ht="14.4" hidden="false" customHeight="false" outlineLevel="0" collapsed="false">
      <c r="A88" s="1"/>
      <c r="B88" s="57" t="s">
        <v>399</v>
      </c>
      <c r="C88" s="57" t="s">
        <v>400</v>
      </c>
      <c r="D88" s="57" t="s">
        <v>401</v>
      </c>
      <c r="E88" s="57" t="s">
        <v>157</v>
      </c>
      <c r="F88" s="57" t="s">
        <v>402</v>
      </c>
      <c r="G88" s="45"/>
      <c r="H88" s="57" t="s">
        <v>403</v>
      </c>
      <c r="I88" s="45"/>
      <c r="J88" s="76" t="n">
        <f aca="false">IF(D87&gt;=20,D87*0.05,D108)</f>
        <v>1</v>
      </c>
      <c r="K88" s="45"/>
      <c r="L88" s="57" t="s">
        <v>399</v>
      </c>
      <c r="M88" s="57" t="s">
        <v>400</v>
      </c>
      <c r="N88" s="57" t="s">
        <v>401</v>
      </c>
      <c r="O88" s="57" t="s">
        <v>157</v>
      </c>
      <c r="P88" s="57" t="s">
        <v>402</v>
      </c>
      <c r="Q88" s="45"/>
      <c r="R88" s="45"/>
      <c r="S88" s="45"/>
      <c r="T88" s="45"/>
      <c r="U88" s="45"/>
    </row>
    <row r="89" customFormat="false" ht="14.4" hidden="false" customHeight="false" outlineLevel="0" collapsed="false">
      <c r="A89" s="1"/>
      <c r="B89" s="57" t="n">
        <v>1</v>
      </c>
      <c r="C89" s="143" t="n">
        <f aca="false">IF($D$87&gt;=20,0.05,IFERROR(0.5*(1-0.05*$D$87)*(0.6+0.4*((B89-1)/$D$87))+0.05,0))</f>
        <v>0.05</v>
      </c>
      <c r="D89" s="143" t="n">
        <f aca="false">SUM($C$89:C89)</f>
        <v>0.05</v>
      </c>
      <c r="E89" s="143" t="n">
        <f aca="false">C89*$J$89</f>
        <v>404.50475</v>
      </c>
      <c r="F89" s="143" t="n">
        <f aca="false">SUM($E$89:E89)</f>
        <v>404.50475</v>
      </c>
      <c r="G89" s="45"/>
      <c r="H89" s="57" t="s">
        <v>404</v>
      </c>
      <c r="I89" s="45"/>
      <c r="J89" s="76" t="n">
        <f aca="false">$R$3/J88</f>
        <v>8090.095</v>
      </c>
      <c r="K89" s="45"/>
      <c r="L89" s="57" t="n">
        <v>1</v>
      </c>
      <c r="M89" s="143" t="n">
        <f aca="true">IF($D$87&gt;=20,0.05,IFERROR(RAND()*(1-0.05*$D$87)*(0.6+0.4*((B89-1)/$D$87))+0.05,0))</f>
        <v>0.05</v>
      </c>
      <c r="N89" s="143" t="n">
        <f aca="false">SUM($M$89:M89)</f>
        <v>0.05</v>
      </c>
      <c r="O89" s="143" t="n">
        <f aca="false">M89*$J$89</f>
        <v>404.50475</v>
      </c>
      <c r="P89" s="143" t="n">
        <f aca="false">SUM($O$89:O89)</f>
        <v>404.50475</v>
      </c>
      <c r="Q89" s="45"/>
      <c r="R89" s="45"/>
      <c r="S89" s="45"/>
      <c r="T89" s="45"/>
      <c r="U89" s="45"/>
    </row>
    <row r="90" customFormat="false" ht="14.4" hidden="false" customHeight="false" outlineLevel="0" collapsed="false">
      <c r="A90" s="1"/>
      <c r="B90" s="57" t="n">
        <v>2</v>
      </c>
      <c r="C90" s="143" t="n">
        <f aca="false">IF($D$87&gt;=20,0.05,IFERROR((0.5*(1-0.05*$D$87-D89+0.05*(B90-1))*(0.6+0.4*((B90-1)/$D$87))+0.05)*IF(B90&gt;$D$87,0,1),0))</f>
        <v>0.05</v>
      </c>
      <c r="D90" s="143" t="n">
        <f aca="false">SUM($C$89:C90)</f>
        <v>0.1</v>
      </c>
      <c r="E90" s="143" t="n">
        <f aca="false">C90*$J$89</f>
        <v>404.50475</v>
      </c>
      <c r="F90" s="143" t="n">
        <f aca="false">SUM($E$89:E90)</f>
        <v>809.0095</v>
      </c>
      <c r="G90" s="45"/>
      <c r="H90" s="57" t="s">
        <v>405</v>
      </c>
      <c r="I90" s="45"/>
      <c r="J90" s="76" t="n">
        <f aca="false">$R$3</f>
        <v>8090.095</v>
      </c>
      <c r="K90" s="45"/>
      <c r="L90" s="57" t="n">
        <v>2</v>
      </c>
      <c r="M90" s="143" t="n">
        <f aca="true">IF($D$87&gt;=20,0.05,IFERROR((RAND()*(1-0.05*$N$87-N89+0.05*(B90-1))*(0.6+0.4*((B90-1)/$N$87))+0.05)*IF(B90&gt;$N$87,0,1),0))</f>
        <v>0.05</v>
      </c>
      <c r="N90" s="143" t="n">
        <f aca="false">SUM($M$89:M90)</f>
        <v>0.1</v>
      </c>
      <c r="O90" s="143" t="n">
        <f aca="false">M90*$J$89</f>
        <v>404.50475</v>
      </c>
      <c r="P90" s="143" t="n">
        <f aca="false">SUM($O$89:O90)</f>
        <v>809.0095</v>
      </c>
      <c r="Q90" s="45"/>
      <c r="R90" s="45"/>
      <c r="S90" s="45"/>
      <c r="T90" s="45"/>
      <c r="U90" s="45"/>
    </row>
    <row r="91" customFormat="false" ht="14.4" hidden="false" customHeight="false" outlineLevel="0" collapsed="false">
      <c r="A91" s="1"/>
      <c r="B91" s="57" t="n">
        <v>3</v>
      </c>
      <c r="C91" s="143" t="n">
        <f aca="false">IF($D$87&gt;=20,0.05,IFERROR((0.5*(1-0.05*$D$87-D90+0.05*(B91-1))*(0.6+0.4*((B91-1)/$D$87))+0.05)*IF(B91&gt;$D$87,0,1),0))</f>
        <v>0.05</v>
      </c>
      <c r="D91" s="143" t="n">
        <f aca="false">SUM($C$89:C91)</f>
        <v>0.15</v>
      </c>
      <c r="E91" s="143" t="n">
        <f aca="false">C91*$J$89</f>
        <v>404.50475</v>
      </c>
      <c r="F91" s="143" t="n">
        <f aca="false">SUM($E$89:E91)</f>
        <v>1213.51425</v>
      </c>
      <c r="G91" s="45"/>
      <c r="H91" s="45"/>
      <c r="I91" s="45"/>
      <c r="J91" s="45"/>
      <c r="K91" s="45"/>
      <c r="L91" s="57" t="n">
        <v>3</v>
      </c>
      <c r="M91" s="143" t="n">
        <f aca="true">IF($D$87&gt;=20,0.05,IFERROR((RAND()*(1-0.05*$N$87-N90+0.05*(B91-1))*(0.6+0.4*((B91-1)/$N$87))+0.05)*IF(B91&gt;$N$87,0,1),0))</f>
        <v>0.05</v>
      </c>
      <c r="N91" s="143" t="n">
        <f aca="false">SUM($M$89:M91)</f>
        <v>0.15</v>
      </c>
      <c r="O91" s="143" t="n">
        <f aca="false">M91*$J$89</f>
        <v>404.50475</v>
      </c>
      <c r="P91" s="143" t="n">
        <f aca="false">SUM($O$89:O91)</f>
        <v>1213.51425</v>
      </c>
      <c r="Q91" s="45"/>
      <c r="R91" s="45"/>
      <c r="S91" s="45"/>
      <c r="T91" s="45"/>
      <c r="U91" s="45"/>
    </row>
    <row r="92" customFormat="false" ht="14.4" hidden="false" customHeight="false" outlineLevel="0" collapsed="false">
      <c r="A92" s="1"/>
      <c r="B92" s="57" t="n">
        <v>4</v>
      </c>
      <c r="C92" s="143" t="n">
        <f aca="false">IF($D$87&gt;=20,0.05,IFERROR((0.5*(1-0.05*$D$87-D91+0.05*(B92-1))*(0.6+0.4*((B92-1)/$D$87))+0.05)*IF(B92&gt;$D$87,0,1),0))</f>
        <v>0.05</v>
      </c>
      <c r="D92" s="143" t="n">
        <f aca="false">SUM($C$89:C92)</f>
        <v>0.2</v>
      </c>
      <c r="E92" s="143" t="n">
        <f aca="false">C92*$J$89</f>
        <v>404.50475</v>
      </c>
      <c r="F92" s="143" t="n">
        <f aca="false">SUM($E$89:E92)</f>
        <v>1618.019</v>
      </c>
      <c r="G92" s="45"/>
      <c r="H92" s="45"/>
      <c r="I92" s="45"/>
      <c r="J92" s="45"/>
      <c r="K92" s="45"/>
      <c r="L92" s="57" t="n">
        <v>4</v>
      </c>
      <c r="M92" s="143" t="n">
        <f aca="true">IF($D$87&gt;=20,0.05,IFERROR((RAND()*(1-0.05*$N$87-N91+0.05*(B92-1))*(0.6+0.4*((B92-1)/$N$87))+0.05)*IF(B92&gt;$N$87,0,1),0))</f>
        <v>0.05</v>
      </c>
      <c r="N92" s="143" t="n">
        <f aca="false">SUM($M$89:M92)</f>
        <v>0.2</v>
      </c>
      <c r="O92" s="143" t="n">
        <f aca="false">M92*$J$89</f>
        <v>404.50475</v>
      </c>
      <c r="P92" s="143" t="n">
        <f aca="false">SUM($O$89:O92)</f>
        <v>1618.019</v>
      </c>
      <c r="Q92" s="45"/>
      <c r="R92" s="45"/>
      <c r="S92" s="45"/>
      <c r="T92" s="45"/>
      <c r="U92" s="45"/>
    </row>
    <row r="93" customFormat="false" ht="14.4" hidden="false" customHeight="false" outlineLevel="0" collapsed="false">
      <c r="A93" s="1"/>
      <c r="B93" s="57" t="n">
        <v>5</v>
      </c>
      <c r="C93" s="143" t="n">
        <f aca="false">IF($D$87&gt;=20,0.05,IFERROR((0.5*(1-0.05*$D$87-D92+0.05*(B93-1))*(0.6+0.4*((B93-1)/$D$87))+0.05)*IF(B93&gt;$D$87,0,1),0))</f>
        <v>0.05</v>
      </c>
      <c r="D93" s="143" t="n">
        <f aca="false">SUM($C$89:C93)</f>
        <v>0.25</v>
      </c>
      <c r="E93" s="143" t="n">
        <f aca="false">C93*$J$89</f>
        <v>404.50475</v>
      </c>
      <c r="F93" s="143" t="n">
        <f aca="false">SUM($E$89:E93)</f>
        <v>2022.52375</v>
      </c>
      <c r="G93" s="45"/>
      <c r="H93" s="45"/>
      <c r="I93" s="45"/>
      <c r="J93" s="45"/>
      <c r="K93" s="45"/>
      <c r="L93" s="57" t="n">
        <v>5</v>
      </c>
      <c r="M93" s="143" t="n">
        <f aca="true">IF($D$87&gt;=20,0.05,IFERROR((RAND()*(1-0.05*$N$87-N92+0.05*(B93-1))*(0.6+0.4*((B93-1)/$N$87))+0.05)*IF(B93&gt;$N$87,0,1),0))</f>
        <v>0.05</v>
      </c>
      <c r="N93" s="143" t="n">
        <f aca="false">SUM($M$89:M93)</f>
        <v>0.25</v>
      </c>
      <c r="O93" s="143" t="n">
        <f aca="false">M93*$J$89</f>
        <v>404.50475</v>
      </c>
      <c r="P93" s="143" t="n">
        <f aca="false">SUM($O$89:O93)</f>
        <v>2022.52375</v>
      </c>
      <c r="Q93" s="45"/>
      <c r="R93" s="45"/>
      <c r="S93" s="45"/>
      <c r="T93" s="45"/>
      <c r="U93" s="45"/>
    </row>
    <row r="94" customFormat="false" ht="14.4" hidden="false" customHeight="false" outlineLevel="0" collapsed="false">
      <c r="A94" s="1"/>
      <c r="B94" s="57" t="n">
        <v>6</v>
      </c>
      <c r="C94" s="143" t="n">
        <f aca="false">IF($D$87&gt;=20,0.05,IFERROR((0.5*(1-0.05*$D$87-D93+0.05*(B94-1))*(0.6+0.4*((B94-1)/$D$87))+0.05)*IF(B94&gt;$D$87,0,1),0))</f>
        <v>0.05</v>
      </c>
      <c r="D94" s="143" t="n">
        <f aca="false">SUM($C$89:C94)</f>
        <v>0.3</v>
      </c>
      <c r="E94" s="143" t="n">
        <f aca="false">C94*$J$89</f>
        <v>404.50475</v>
      </c>
      <c r="F94" s="143" t="n">
        <f aca="false">SUM($E$89:E94)</f>
        <v>2427.0285</v>
      </c>
      <c r="G94" s="45"/>
      <c r="H94" s="45"/>
      <c r="I94" s="45"/>
      <c r="J94" s="45"/>
      <c r="K94" s="45"/>
      <c r="L94" s="57" t="n">
        <v>6</v>
      </c>
      <c r="M94" s="143" t="n">
        <f aca="true">IF($D$87&gt;=20,0.05,IFERROR((RAND()*(1-0.05*$N$87-N93+0.05*(B94-1))*(0.6+0.4*((B94-1)/$N$87))+0.05)*IF(B94&gt;$N$87,0,1),0))</f>
        <v>0.05</v>
      </c>
      <c r="N94" s="143" t="n">
        <f aca="false">SUM($M$89:M94)</f>
        <v>0.3</v>
      </c>
      <c r="O94" s="143" t="n">
        <f aca="false">M94*$J$89</f>
        <v>404.50475</v>
      </c>
      <c r="P94" s="143" t="n">
        <f aca="false">SUM($O$89:O94)</f>
        <v>2427.0285</v>
      </c>
      <c r="Q94" s="45"/>
      <c r="R94" s="45"/>
      <c r="S94" s="45"/>
      <c r="T94" s="45"/>
      <c r="U94" s="45"/>
    </row>
    <row r="95" customFormat="false" ht="14.4" hidden="false" customHeight="false" outlineLevel="0" collapsed="false">
      <c r="A95" s="1"/>
      <c r="B95" s="57" t="n">
        <v>7</v>
      </c>
      <c r="C95" s="143" t="n">
        <f aca="false">IF($D$87&gt;=20,0.05,IFERROR((0.5*(1-0.05*$D$87-D94+0.05*(B95-1))*(0.6+0.4*((B95-1)/$D$87))+0.05)*IF(B95&gt;$D$87,0,1),0))</f>
        <v>0.05</v>
      </c>
      <c r="D95" s="143" t="n">
        <f aca="false">SUM($C$89:C95)</f>
        <v>0.35</v>
      </c>
      <c r="E95" s="143" t="n">
        <f aca="false">C95*$J$89</f>
        <v>404.50475</v>
      </c>
      <c r="F95" s="143" t="n">
        <f aca="false">SUM($E$89:E95)</f>
        <v>2831.53325</v>
      </c>
      <c r="G95" s="45"/>
      <c r="H95" s="45"/>
      <c r="I95" s="45"/>
      <c r="J95" s="45"/>
      <c r="K95" s="45"/>
      <c r="L95" s="57" t="n">
        <v>7</v>
      </c>
      <c r="M95" s="143" t="n">
        <f aca="true">IF($D$87&gt;=20,0.05,IFERROR((RAND()*(1-0.05*$N$87-N94+0.05*(B95-1))*(0.6+0.4*((B95-1)/$N$87))+0.05)*IF(B95&gt;$N$87,0,1),0))</f>
        <v>0.05</v>
      </c>
      <c r="N95" s="143" t="n">
        <f aca="false">SUM($M$89:M95)</f>
        <v>0.35</v>
      </c>
      <c r="O95" s="143" t="n">
        <f aca="false">M95*$J$89</f>
        <v>404.50475</v>
      </c>
      <c r="P95" s="143" t="n">
        <f aca="false">SUM($O$89:O95)</f>
        <v>2831.53325</v>
      </c>
      <c r="Q95" s="45"/>
      <c r="R95" s="45"/>
      <c r="S95" s="45"/>
      <c r="T95" s="45"/>
      <c r="U95" s="45"/>
    </row>
    <row r="96" customFormat="false" ht="14.4" hidden="false" customHeight="false" outlineLevel="0" collapsed="false">
      <c r="A96" s="1"/>
      <c r="B96" s="57" t="n">
        <v>8</v>
      </c>
      <c r="C96" s="143" t="n">
        <f aca="false">IF($D$87&gt;=20,0.05,IFERROR((0.5*(1-0.05*$D$87-D95+0.05*(B96-1))*(0.6+0.4*((B96-1)/$D$87))+0.05)*IF(B96&gt;$D$87,0,1),0))</f>
        <v>0.05</v>
      </c>
      <c r="D96" s="143" t="n">
        <f aca="false">SUM($C$89:C96)</f>
        <v>0.4</v>
      </c>
      <c r="E96" s="143" t="n">
        <f aca="false">C96*$J$89</f>
        <v>404.50475</v>
      </c>
      <c r="F96" s="143" t="n">
        <f aca="false">SUM($E$89:E96)</f>
        <v>3236.038</v>
      </c>
      <c r="G96" s="45"/>
      <c r="H96" s="45"/>
      <c r="I96" s="45"/>
      <c r="J96" s="45"/>
      <c r="K96" s="45"/>
      <c r="L96" s="57" t="n">
        <v>8</v>
      </c>
      <c r="M96" s="143" t="n">
        <f aca="true">IF($D$87&gt;=20,0.05,IFERROR((RAND()*(1-0.05*$N$87-N95+0.05*(B96-1))*(0.6+0.4*((B96-1)/$N$87))+0.05)*IF(B96&gt;$N$87,0,1),0))</f>
        <v>0.05</v>
      </c>
      <c r="N96" s="143" t="n">
        <f aca="false">SUM($M$89:M96)</f>
        <v>0.4</v>
      </c>
      <c r="O96" s="143" t="n">
        <f aca="false">M96*$J$89</f>
        <v>404.50475</v>
      </c>
      <c r="P96" s="143" t="n">
        <f aca="false">SUM($O$89:O96)</f>
        <v>3236.038</v>
      </c>
      <c r="Q96" s="45"/>
      <c r="R96" s="45"/>
      <c r="S96" s="45"/>
      <c r="T96" s="45"/>
      <c r="U96" s="45"/>
    </row>
    <row r="97" customFormat="false" ht="14.4" hidden="false" customHeight="false" outlineLevel="0" collapsed="false">
      <c r="A97" s="1"/>
      <c r="B97" s="57" t="n">
        <v>9</v>
      </c>
      <c r="C97" s="143" t="n">
        <f aca="false">IF($D$87&gt;=20,0.05,IFERROR((0.5*(1-0.05*$D$87-D96+0.05*(B97-1))*(0.6+0.4*((B97-1)/$D$87))+0.05)*IF(B97&gt;$D$87,0,1),0))</f>
        <v>0.05</v>
      </c>
      <c r="D97" s="143" t="n">
        <f aca="false">SUM($C$89:C97)</f>
        <v>0.45</v>
      </c>
      <c r="E97" s="143" t="n">
        <f aca="false">C97*$J$89</f>
        <v>404.50475</v>
      </c>
      <c r="F97" s="143" t="n">
        <f aca="false">SUM($E$89:E97)</f>
        <v>3640.54275</v>
      </c>
      <c r="G97" s="45"/>
      <c r="H97" s="45"/>
      <c r="I97" s="45"/>
      <c r="J97" s="45"/>
      <c r="K97" s="45"/>
      <c r="L97" s="57" t="n">
        <v>9</v>
      </c>
      <c r="M97" s="143" t="n">
        <f aca="true">IF($D$87&gt;=20,0.05,IFERROR((RAND()*(1-0.05*$N$87-N96+0.05*(B97-1))*(0.6+0.4*((B97-1)/$N$87))+0.05)*IF(B97&gt;$N$87,0,1),0))</f>
        <v>0.05</v>
      </c>
      <c r="N97" s="143" t="n">
        <f aca="false">SUM($M$89:M97)</f>
        <v>0.45</v>
      </c>
      <c r="O97" s="143" t="n">
        <f aca="false">M97*$J$89</f>
        <v>404.50475</v>
      </c>
      <c r="P97" s="143" t="n">
        <f aca="false">SUM($O$89:O97)</f>
        <v>3640.54275</v>
      </c>
      <c r="Q97" s="45"/>
      <c r="R97" s="45"/>
      <c r="S97" s="45"/>
      <c r="T97" s="45"/>
      <c r="U97" s="45"/>
    </row>
    <row r="98" customFormat="false" ht="14.4" hidden="false" customHeight="false" outlineLevel="0" collapsed="false">
      <c r="A98" s="1"/>
      <c r="B98" s="57" t="n">
        <v>10</v>
      </c>
      <c r="C98" s="143" t="n">
        <f aca="false">IF($D$87&gt;=20,0.05,IFERROR((0.5*(1-0.05*$D$87-D97+0.05*(B98-1))*(0.6+0.4*((B98-1)/$D$87))+0.05)*IF(B98&gt;$D$87,0,1),0))</f>
        <v>0.05</v>
      </c>
      <c r="D98" s="143" t="n">
        <f aca="false">SUM($C$89:C98)</f>
        <v>0.5</v>
      </c>
      <c r="E98" s="143" t="n">
        <f aca="false">C98*$J$89</f>
        <v>404.50475</v>
      </c>
      <c r="F98" s="143" t="n">
        <f aca="false">SUM($E$89:E98)</f>
        <v>4045.0475</v>
      </c>
      <c r="G98" s="45"/>
      <c r="H98" s="45"/>
      <c r="I98" s="45"/>
      <c r="J98" s="45"/>
      <c r="K98" s="45"/>
      <c r="L98" s="57" t="n">
        <v>10</v>
      </c>
      <c r="M98" s="143" t="n">
        <f aca="true">IF($D$87&gt;=20,0.05,IFERROR((RAND()*(1-0.05*$N$87-N97+0.05*(B98-1))*(0.6+0.4*((B98-1)/$N$87))+0.05)*IF(B98&gt;$N$87,0,1),0))</f>
        <v>0.05</v>
      </c>
      <c r="N98" s="143" t="n">
        <f aca="false">SUM($M$89:M98)</f>
        <v>0.5</v>
      </c>
      <c r="O98" s="143" t="n">
        <f aca="false">M98*$J$89</f>
        <v>404.50475</v>
      </c>
      <c r="P98" s="143" t="n">
        <f aca="false">SUM($O$89:O98)</f>
        <v>4045.0475</v>
      </c>
      <c r="Q98" s="45"/>
      <c r="R98" s="45"/>
      <c r="S98" s="45"/>
      <c r="T98" s="45"/>
      <c r="U98" s="45"/>
    </row>
    <row r="99" customFormat="false" ht="14.4" hidden="false" customHeight="false" outlineLevel="0" collapsed="false">
      <c r="A99" s="1"/>
      <c r="B99" s="57" t="n">
        <v>11</v>
      </c>
      <c r="C99" s="143" t="n">
        <f aca="false">IF($D$87&gt;=20,0.05,IFERROR((0.5*(1-0.05*$D$87-D98+0.05*(B99-1))*(0.6+0.4*((B99-1)/$D$87))+0.05)*IF(B99&gt;$D$87,0,1),0))</f>
        <v>0.05</v>
      </c>
      <c r="D99" s="143" t="n">
        <f aca="false">SUM($C$89:C99)</f>
        <v>0.55</v>
      </c>
      <c r="E99" s="143" t="n">
        <f aca="false">C99*$J$89</f>
        <v>404.50475</v>
      </c>
      <c r="F99" s="143" t="n">
        <f aca="false">SUM($E$89:E99)</f>
        <v>4449.55225</v>
      </c>
      <c r="G99" s="45"/>
      <c r="H99" s="45"/>
      <c r="I99" s="45"/>
      <c r="J99" s="45"/>
      <c r="K99" s="45"/>
      <c r="L99" s="57" t="n">
        <v>11</v>
      </c>
      <c r="M99" s="143" t="n">
        <f aca="true">IF($D$87&gt;=20,0.05,IFERROR((RAND()*(1-0.05*$N$87-N98+0.05*(B99-1))*(0.6+0.4*((B99-1)/$N$87))+0.05)*IF(B99&gt;$N$87,0,1),0))</f>
        <v>0.05</v>
      </c>
      <c r="N99" s="143" t="n">
        <f aca="false">SUM($M$89:M99)</f>
        <v>0.55</v>
      </c>
      <c r="O99" s="143" t="n">
        <f aca="false">M99*$J$89</f>
        <v>404.50475</v>
      </c>
      <c r="P99" s="143" t="n">
        <f aca="false">SUM($O$89:O99)</f>
        <v>4449.55225</v>
      </c>
      <c r="Q99" s="45"/>
      <c r="R99" s="45"/>
      <c r="S99" s="45"/>
      <c r="T99" s="45"/>
      <c r="U99" s="45"/>
    </row>
    <row r="100" customFormat="false" ht="14.4" hidden="false" customHeight="false" outlineLevel="0" collapsed="false">
      <c r="A100" s="45"/>
      <c r="B100" s="57" t="n">
        <v>12</v>
      </c>
      <c r="C100" s="143" t="n">
        <f aca="false">IF($D$87&gt;=20,0.05,IFERROR((0.5*(1-0.05*$D$87-D99+0.05*(B100-1))*(0.6+0.4*((B100-1)/$D$87))+0.05)*IF(B100&gt;$D$87,0,1),0))</f>
        <v>0.05</v>
      </c>
      <c r="D100" s="143" t="n">
        <f aca="false">SUM($C$89:C100)</f>
        <v>0.6</v>
      </c>
      <c r="E100" s="143" t="n">
        <f aca="false">C100*$J$89</f>
        <v>404.50475</v>
      </c>
      <c r="F100" s="143" t="n">
        <f aca="false">SUM($E$89:E100)</f>
        <v>4854.057</v>
      </c>
      <c r="G100" s="45"/>
      <c r="H100" s="45"/>
      <c r="I100" s="45"/>
      <c r="J100" s="45"/>
      <c r="K100" s="45"/>
      <c r="L100" s="57" t="n">
        <v>12</v>
      </c>
      <c r="M100" s="143" t="n">
        <f aca="true">IF($D$87&gt;=20,0.05,IFERROR((RAND()*(1-0.05*$N$87-N99+0.05*(B100-1))*(0.6+0.4*((B100-1)/$N$87))+0.05)*IF(B100&gt;$N$87,0,1),0))</f>
        <v>0.05</v>
      </c>
      <c r="N100" s="143" t="n">
        <f aca="false">SUM($M$89:M100)</f>
        <v>0.6</v>
      </c>
      <c r="O100" s="143" t="n">
        <f aca="false">M100*$J$89</f>
        <v>404.50475</v>
      </c>
      <c r="P100" s="143" t="n">
        <f aca="false">SUM($O$89:O100)</f>
        <v>4854.057</v>
      </c>
      <c r="Q100" s="45"/>
      <c r="R100" s="45"/>
      <c r="S100" s="45"/>
      <c r="T100" s="45"/>
      <c r="U100" s="45"/>
    </row>
    <row r="101" customFormat="false" ht="14.4" hidden="false" customHeight="false" outlineLevel="0" collapsed="false">
      <c r="A101" s="45"/>
      <c r="B101" s="57" t="n">
        <v>13</v>
      </c>
      <c r="C101" s="143" t="n">
        <f aca="false">IF($D$87&gt;=20,0.05,IFERROR((0.5*(1-0.05*$D$87-D100+0.05*(B101-1))*(0.6+0.4*((B101-1)/$D$87))+0.05)*IF(B101&gt;$D$87,0,1),0))</f>
        <v>0.05</v>
      </c>
      <c r="D101" s="143" t="n">
        <f aca="false">SUM($C$89:C101)</f>
        <v>0.65</v>
      </c>
      <c r="E101" s="143" t="n">
        <f aca="false">C101*$J$89</f>
        <v>404.50475</v>
      </c>
      <c r="F101" s="143" t="n">
        <f aca="false">SUM($E$89:E101)</f>
        <v>5258.56175</v>
      </c>
      <c r="G101" s="45"/>
      <c r="H101" s="45"/>
      <c r="I101" s="45"/>
      <c r="J101" s="45"/>
      <c r="K101" s="45"/>
      <c r="L101" s="57" t="n">
        <v>13</v>
      </c>
      <c r="M101" s="143" t="n">
        <f aca="true">IF($D$87&gt;=20,0.05,IFERROR((RAND()*(1-0.05*$N$87-N100+0.05*(B101-1))*(0.6+0.4*((B101-1)/$N$87))+0.05)*IF(B101&gt;$N$87,0,1),0))</f>
        <v>0.05</v>
      </c>
      <c r="N101" s="143" t="n">
        <f aca="false">SUM($M$89:M101)</f>
        <v>0.65</v>
      </c>
      <c r="O101" s="143" t="n">
        <f aca="false">M101*$J$89</f>
        <v>404.50475</v>
      </c>
      <c r="P101" s="143" t="n">
        <f aca="false">SUM($O$89:O101)</f>
        <v>5258.56175</v>
      </c>
      <c r="Q101" s="45"/>
      <c r="R101" s="45"/>
      <c r="S101" s="45"/>
      <c r="T101" s="45"/>
      <c r="U101" s="45"/>
    </row>
    <row r="102" customFormat="false" ht="14.4" hidden="false" customHeight="false" outlineLevel="0" collapsed="false">
      <c r="A102" s="45"/>
      <c r="B102" s="57" t="n">
        <v>14</v>
      </c>
      <c r="C102" s="143" t="n">
        <f aca="false">IF($D$87&gt;=20,0.05,IFERROR((0.5*(1-0.05*$D$87-D101+0.05*(B102-1))*(0.6+0.4*((B102-1)/$D$87))+0.05)*IF(B102&gt;$D$87,0,1),0))</f>
        <v>0.05</v>
      </c>
      <c r="D102" s="143" t="n">
        <f aca="false">SUM($C$89:C102)</f>
        <v>0.7</v>
      </c>
      <c r="E102" s="143" t="n">
        <f aca="false">C102*$J$89</f>
        <v>404.50475</v>
      </c>
      <c r="F102" s="143" t="n">
        <f aca="false">SUM($E$89:E102)</f>
        <v>5663.0665</v>
      </c>
      <c r="G102" s="45"/>
      <c r="H102" s="45"/>
      <c r="I102" s="45"/>
      <c r="J102" s="45"/>
      <c r="K102" s="45"/>
      <c r="L102" s="57" t="n">
        <v>14</v>
      </c>
      <c r="M102" s="143" t="n">
        <f aca="true">IF($D$87&gt;=20,0.05,IFERROR((RAND()*(1-0.05*$N$87-N101+0.05*(B102-1))*(0.6+0.4*((B102-1)/$N$87))+0.05)*IF(B102&gt;$N$87,0,1),0))</f>
        <v>0.05</v>
      </c>
      <c r="N102" s="143" t="n">
        <f aca="false">SUM($M$89:M102)</f>
        <v>0.7</v>
      </c>
      <c r="O102" s="143" t="n">
        <f aca="false">M102*$J$89</f>
        <v>404.50475</v>
      </c>
      <c r="P102" s="143" t="n">
        <f aca="false">SUM($O$89:O102)</f>
        <v>5663.0665</v>
      </c>
      <c r="Q102" s="45"/>
      <c r="R102" s="45"/>
      <c r="S102" s="45"/>
      <c r="T102" s="45"/>
      <c r="U102" s="45"/>
    </row>
    <row r="103" customFormat="false" ht="14.4" hidden="false" customHeight="false" outlineLevel="0" collapsed="false">
      <c r="A103" s="45"/>
      <c r="B103" s="57" t="n">
        <v>15</v>
      </c>
      <c r="C103" s="143" t="n">
        <f aca="false">IF($D$87&gt;=20,0.05,IFERROR((0.5*(1-0.05*$D$87-D102+0.05*(B103-1))*(0.6+0.4*((B103-1)/$D$87))+0.05)*IF(B103&gt;$D$87,0,1),0))</f>
        <v>0.05</v>
      </c>
      <c r="D103" s="143" t="n">
        <f aca="false">SUM($C$89:C103)</f>
        <v>0.75</v>
      </c>
      <c r="E103" s="143" t="n">
        <f aca="false">C103*$J$89</f>
        <v>404.50475</v>
      </c>
      <c r="F103" s="143" t="n">
        <f aca="false">SUM($E$89:E103)</f>
        <v>6067.57125</v>
      </c>
      <c r="G103" s="45"/>
      <c r="H103" s="45"/>
      <c r="I103" s="45"/>
      <c r="J103" s="45"/>
      <c r="K103" s="45"/>
      <c r="L103" s="57" t="n">
        <v>15</v>
      </c>
      <c r="M103" s="143" t="n">
        <f aca="true">IF($D$87&gt;=20,0.05,IFERROR((RAND()*(1-0.05*$N$87-N102+0.05*(B103-1))*(0.6+0.4*((B103-1)/$N$87))+0.05)*IF(B103&gt;$N$87,0,1),0))</f>
        <v>0.05</v>
      </c>
      <c r="N103" s="143" t="n">
        <f aca="false">SUM($M$89:M103)</f>
        <v>0.75</v>
      </c>
      <c r="O103" s="143" t="n">
        <f aca="false">M103*$J$89</f>
        <v>404.50475</v>
      </c>
      <c r="P103" s="143" t="n">
        <f aca="false">SUM($O$89:O103)</f>
        <v>6067.57125</v>
      </c>
      <c r="Q103" s="45"/>
      <c r="R103" s="45"/>
      <c r="S103" s="45"/>
      <c r="T103" s="45"/>
      <c r="U103" s="45"/>
    </row>
    <row r="104" customFormat="false" ht="14.4" hidden="false" customHeight="false" outlineLevel="0" collapsed="false">
      <c r="A104" s="45"/>
      <c r="B104" s="57" t="n">
        <v>16</v>
      </c>
      <c r="C104" s="143" t="n">
        <f aca="false">IF($D$87&gt;=20,0.05,IFERROR((0.5*(1-0.05*$D$87-D103+0.05*(B104-1))*(0.6+0.4*((B104-1)/$D$87))+0.05)*IF(B104&gt;$D$87,0,1),0))</f>
        <v>0.05</v>
      </c>
      <c r="D104" s="143" t="n">
        <f aca="false">SUM($C$89:C104)</f>
        <v>0.8</v>
      </c>
      <c r="E104" s="143" t="n">
        <f aca="false">C104*$J$89</f>
        <v>404.50475</v>
      </c>
      <c r="F104" s="143" t="n">
        <f aca="false">SUM($E$89:E104)</f>
        <v>6472.076</v>
      </c>
      <c r="G104" s="45"/>
      <c r="H104" s="45"/>
      <c r="I104" s="45"/>
      <c r="J104" s="45"/>
      <c r="K104" s="45"/>
      <c r="L104" s="57" t="n">
        <v>16</v>
      </c>
      <c r="M104" s="143" t="n">
        <f aca="true">IF($D$87&gt;=20,0.05,IFERROR((RAND()*(1-0.05*$N$87-N103+0.05*(B104-1))*(0.6+0.4*((B104-1)/$N$87))+0.05)*IF(B104&gt;$N$87,0,1),0))</f>
        <v>0.05</v>
      </c>
      <c r="N104" s="143" t="n">
        <f aca="false">SUM($M$89:M104)</f>
        <v>0.8</v>
      </c>
      <c r="O104" s="143" t="n">
        <f aca="false">M104*$J$89</f>
        <v>404.50475</v>
      </c>
      <c r="P104" s="143" t="n">
        <f aca="false">SUM($O$89:O104)</f>
        <v>6472.076</v>
      </c>
      <c r="Q104" s="45"/>
      <c r="R104" s="45"/>
      <c r="S104" s="45"/>
      <c r="T104" s="45"/>
      <c r="U104" s="45"/>
    </row>
    <row r="105" customFormat="false" ht="14.4" hidden="false" customHeight="false" outlineLevel="0" collapsed="false">
      <c r="A105" s="45"/>
      <c r="B105" s="57" t="n">
        <v>17</v>
      </c>
      <c r="C105" s="143" t="n">
        <f aca="false">IF($D$87&gt;=20,0.05,IFERROR((0.5*(1-0.05*$D$87-D104+0.05*(B105-1))*(0.6+0.4*((B105-1)/$D$87))+0.05)*IF(B105&gt;$D$87,0,1),0))</f>
        <v>0.05</v>
      </c>
      <c r="D105" s="143" t="n">
        <f aca="false">SUM($C$89:C105)</f>
        <v>0.85</v>
      </c>
      <c r="E105" s="143" t="n">
        <f aca="false">C105*$J$89</f>
        <v>404.50475</v>
      </c>
      <c r="F105" s="143" t="n">
        <f aca="false">SUM($E$89:E105)</f>
        <v>6876.58075</v>
      </c>
      <c r="G105" s="45"/>
      <c r="H105" s="45"/>
      <c r="I105" s="45"/>
      <c r="J105" s="45"/>
      <c r="K105" s="45"/>
      <c r="L105" s="57" t="n">
        <v>17</v>
      </c>
      <c r="M105" s="143" t="n">
        <f aca="true">IF($D$87&gt;=20,0.05,IFERROR((RAND()*(1-0.05*$N$87-N104+0.05*(B105-1))*(0.6+0.4*((B105-1)/$N$87))+0.05)*IF(B105&gt;$N$87,0,1),0))</f>
        <v>0.05</v>
      </c>
      <c r="N105" s="143" t="n">
        <f aca="false">SUM($M$89:M105)</f>
        <v>0.85</v>
      </c>
      <c r="O105" s="143" t="n">
        <f aca="false">M105*$J$89</f>
        <v>404.50475</v>
      </c>
      <c r="P105" s="143" t="n">
        <f aca="false">SUM($O$89:O105)</f>
        <v>6876.58075</v>
      </c>
      <c r="Q105" s="45"/>
      <c r="R105" s="45"/>
      <c r="S105" s="45"/>
      <c r="T105" s="45"/>
      <c r="U105" s="45"/>
    </row>
    <row r="106" customFormat="false" ht="14.4" hidden="false" customHeight="false" outlineLevel="0" collapsed="false">
      <c r="A106" s="45"/>
      <c r="B106" s="57" t="n">
        <v>18</v>
      </c>
      <c r="C106" s="143" t="n">
        <f aca="false">IF($D$87&gt;=20,0.05,IFERROR((0.5*(1-0.05*$D$87-D105+0.05*(B106-1))*(0.6+0.4*((B106-1)/$D$87))+0.05)*IF(B106&gt;$D$87,0,1),0))</f>
        <v>0.05</v>
      </c>
      <c r="D106" s="143" t="n">
        <f aca="false">SUM($C$89:C106)</f>
        <v>0.9</v>
      </c>
      <c r="E106" s="143" t="n">
        <f aca="false">C106*$J$89</f>
        <v>404.50475</v>
      </c>
      <c r="F106" s="143" t="n">
        <f aca="false">SUM($E$89:E106)</f>
        <v>7281.0855</v>
      </c>
      <c r="G106" s="45"/>
      <c r="H106" s="45"/>
      <c r="I106" s="45"/>
      <c r="J106" s="45"/>
      <c r="K106" s="45"/>
      <c r="L106" s="57" t="n">
        <v>18</v>
      </c>
      <c r="M106" s="143" t="n">
        <f aca="true">IF($D$87&gt;=20,0.05,IFERROR((RAND()*(1-0.05*$N$87-N105+0.05*(B106-1))*(0.6+0.4*((B106-1)/$N$87))+0.05)*IF(B106&gt;$N$87,0,1),0))</f>
        <v>0.05</v>
      </c>
      <c r="N106" s="143" t="n">
        <f aca="false">SUM($M$89:M106)</f>
        <v>0.9</v>
      </c>
      <c r="O106" s="143" t="n">
        <f aca="false">M106*$J$89</f>
        <v>404.50475</v>
      </c>
      <c r="P106" s="143" t="n">
        <f aca="false">SUM($O$89:O106)</f>
        <v>7281.0855</v>
      </c>
      <c r="Q106" s="45"/>
      <c r="R106" s="45"/>
      <c r="S106" s="45"/>
      <c r="T106" s="45"/>
      <c r="U106" s="45"/>
    </row>
    <row r="107" customFormat="false" ht="14.4" hidden="false" customHeight="false" outlineLevel="0" collapsed="false">
      <c r="A107" s="45"/>
      <c r="B107" s="57" t="n">
        <v>19</v>
      </c>
      <c r="C107" s="143" t="n">
        <f aca="false">IF($D$87&gt;=20,0.05,IFERROR((0.5*(1-0.05*$D$87-D106+0.05*(B107-1))*(0.6+0.4*((B107-1)/$D$87))+0.05)*IF(B107&gt;$D$87,0,1),0))</f>
        <v>0.05</v>
      </c>
      <c r="D107" s="143" t="n">
        <f aca="false">SUM($C$89:C107)</f>
        <v>0.95</v>
      </c>
      <c r="E107" s="143" t="n">
        <f aca="false">C107*$J$89</f>
        <v>404.50475</v>
      </c>
      <c r="F107" s="143" t="n">
        <f aca="false">SUM($E$89:E107)</f>
        <v>7685.59025</v>
      </c>
      <c r="G107" s="45"/>
      <c r="H107" s="45"/>
      <c r="I107" s="45"/>
      <c r="J107" s="45"/>
      <c r="K107" s="45"/>
      <c r="L107" s="57" t="n">
        <v>19</v>
      </c>
      <c r="M107" s="143" t="n">
        <f aca="true">IF($D$87&gt;=20,0.05,IFERROR((RAND()*(1-0.05*$N$87-N106+0.05*(B107-1))*(0.6+0.4*((B107-1)/$N$87))+0.05)*IF(B107&gt;$N$87,0,1),0))</f>
        <v>0.05</v>
      </c>
      <c r="N107" s="143" t="n">
        <f aca="false">SUM($M$89:M107)</f>
        <v>0.95</v>
      </c>
      <c r="O107" s="143" t="n">
        <f aca="false">M107*$J$89</f>
        <v>404.50475</v>
      </c>
      <c r="P107" s="143" t="n">
        <f aca="false">SUM($O$89:O107)</f>
        <v>7685.59025</v>
      </c>
      <c r="Q107" s="45"/>
      <c r="R107" s="45"/>
      <c r="S107" s="45"/>
      <c r="T107" s="45"/>
      <c r="U107" s="45"/>
    </row>
    <row r="108" customFormat="false" ht="14.4" hidden="false" customHeight="false" outlineLevel="0" collapsed="false">
      <c r="A108" s="45"/>
      <c r="B108" s="57" t="n">
        <v>20</v>
      </c>
      <c r="C108" s="143" t="n">
        <f aca="false">IF($D$87&gt;=20,0.05,IFERROR((0.5*(1-0.05*$D$87-D107+0.05*(B108-1))*(0.6+0.4*((B108-1)/$D$87))+0.05)*IF(B108&gt;$D$87,0,1),0))</f>
        <v>0.05</v>
      </c>
      <c r="D108" s="143" t="n">
        <f aca="false">SUM($C$89:C108)</f>
        <v>1</v>
      </c>
      <c r="E108" s="143" t="n">
        <f aca="false">C108*$J$89</f>
        <v>404.50475</v>
      </c>
      <c r="F108" s="143" t="n">
        <f aca="false">SUM($E$89:E108)</f>
        <v>8090.095</v>
      </c>
      <c r="G108" s="45"/>
      <c r="H108" s="45"/>
      <c r="I108" s="45"/>
      <c r="J108" s="45"/>
      <c r="K108" s="45"/>
      <c r="L108" s="57" t="n">
        <v>20</v>
      </c>
      <c r="M108" s="143" t="n">
        <f aca="true">IF($D$87&gt;=20,0.05,IFERROR((RAND()*(1-0.05*$N$87-N107+0.05*(B108-1))*(0.6+0.4*((B108-1)/$N$87))+0.05)*IF(B108&gt;$N$87,0,1),0))</f>
        <v>0.05</v>
      </c>
      <c r="N108" s="143" t="n">
        <f aca="false">SUM($M$89:M108)</f>
        <v>1</v>
      </c>
      <c r="O108" s="143" t="n">
        <f aca="false">M108*$J$89</f>
        <v>404.50475</v>
      </c>
      <c r="P108" s="143" t="n">
        <f aca="false">SUM($O$89:O108)</f>
        <v>8090.095</v>
      </c>
      <c r="Q108" s="45"/>
      <c r="R108" s="45"/>
      <c r="S108" s="45"/>
      <c r="T108" s="45"/>
      <c r="U108" s="45"/>
    </row>
    <row r="109" customFormat="false" ht="14.4" hidden="false" customHeight="false" outlineLevel="0" collapsed="false">
      <c r="A109" s="45"/>
      <c r="B109" s="45"/>
      <c r="C109" s="45"/>
      <c r="D109" s="45"/>
      <c r="E109" s="45"/>
      <c r="F109" s="45"/>
      <c r="G109" s="45"/>
      <c r="H109" s="45"/>
      <c r="I109" s="45"/>
      <c r="J109" s="45"/>
      <c r="K109" s="45"/>
      <c r="L109" s="45"/>
      <c r="M109" s="45"/>
      <c r="N109" s="45"/>
      <c r="O109" s="45"/>
      <c r="P109" s="45"/>
      <c r="Q109" s="45"/>
      <c r="R109" s="45"/>
      <c r="S109" s="45"/>
      <c r="T109" s="45"/>
      <c r="U109" s="45"/>
    </row>
    <row r="110" customFormat="false" ht="14.4" hidden="false" customHeight="false" outlineLevel="0" collapsed="false">
      <c r="A110" s="45"/>
      <c r="B110" s="45"/>
      <c r="C110" s="45"/>
      <c r="D110" s="45"/>
      <c r="E110" s="45"/>
      <c r="F110" s="45"/>
      <c r="G110" s="45"/>
      <c r="H110" s="45"/>
      <c r="I110" s="45"/>
      <c r="J110" s="45"/>
      <c r="K110" s="45"/>
      <c r="L110" s="45"/>
      <c r="M110" s="45"/>
      <c r="N110" s="45"/>
      <c r="O110" s="45"/>
      <c r="P110" s="45"/>
      <c r="Q110" s="45"/>
      <c r="R110" s="45"/>
      <c r="S110" s="45"/>
      <c r="T110" s="45"/>
      <c r="U110" s="45"/>
    </row>
    <row r="111" customFormat="false" ht="14.4" hidden="false" customHeight="false" outlineLevel="0" collapsed="false">
      <c r="A111" s="45"/>
      <c r="B111" s="45"/>
      <c r="C111" s="45"/>
      <c r="D111" s="45"/>
      <c r="E111" s="45"/>
      <c r="F111" s="45"/>
      <c r="G111" s="45"/>
      <c r="H111" s="45"/>
      <c r="I111" s="45"/>
      <c r="J111" s="45"/>
      <c r="K111" s="45"/>
      <c r="L111" s="45"/>
      <c r="M111" s="45"/>
      <c r="N111" s="45"/>
      <c r="O111" s="45"/>
      <c r="P111" s="45"/>
      <c r="Q111" s="45"/>
      <c r="R111" s="45"/>
      <c r="S111" s="45"/>
      <c r="T111" s="45"/>
      <c r="U111" s="45"/>
    </row>
    <row r="112" customFormat="false" ht="14.4" hidden="false" customHeight="false" outlineLevel="0" collapsed="false">
      <c r="A112" s="45"/>
      <c r="B112" s="45"/>
      <c r="C112" s="45"/>
      <c r="D112" s="45"/>
      <c r="E112" s="45"/>
      <c r="F112" s="45"/>
      <c r="G112" s="45"/>
      <c r="H112" s="45"/>
      <c r="I112" s="45"/>
      <c r="J112" s="45"/>
      <c r="K112" s="45"/>
      <c r="L112" s="45"/>
      <c r="M112" s="45"/>
      <c r="N112" s="45"/>
      <c r="O112" s="45"/>
      <c r="P112" s="45"/>
      <c r="Q112" s="45"/>
      <c r="R112" s="45"/>
      <c r="S112" s="45"/>
      <c r="T112" s="45"/>
      <c r="U112" s="45"/>
    </row>
    <row r="113" customFormat="false" ht="14.4" hidden="false" customHeight="false" outlineLevel="0" collapsed="false">
      <c r="A113" s="45"/>
      <c r="B113" s="45"/>
      <c r="C113" s="45"/>
      <c r="D113" s="45"/>
      <c r="E113" s="45"/>
      <c r="F113" s="45"/>
      <c r="G113" s="45"/>
      <c r="H113" s="45"/>
      <c r="I113" s="45"/>
      <c r="J113" s="45"/>
      <c r="K113" s="45"/>
      <c r="L113" s="45"/>
      <c r="M113" s="45"/>
      <c r="N113" s="45"/>
      <c r="O113" s="45"/>
      <c r="P113" s="45"/>
      <c r="Q113" s="45"/>
      <c r="R113" s="45"/>
      <c r="S113" s="45"/>
      <c r="T113" s="45"/>
      <c r="U113" s="45"/>
    </row>
    <row r="114" customFormat="false" ht="14.4" hidden="false" customHeight="false" outlineLevel="0" collapsed="false">
      <c r="A114" s="45"/>
      <c r="B114" s="45"/>
      <c r="C114" s="45"/>
      <c r="D114" s="45"/>
      <c r="E114" s="45"/>
      <c r="F114" s="45"/>
      <c r="G114" s="45"/>
      <c r="H114" s="45"/>
      <c r="I114" s="45"/>
      <c r="J114" s="45"/>
      <c r="K114" s="45"/>
      <c r="L114" s="45"/>
      <c r="M114" s="45"/>
      <c r="N114" s="45"/>
      <c r="O114" s="45"/>
      <c r="P114" s="45"/>
      <c r="Q114" s="45"/>
      <c r="R114" s="45"/>
      <c r="S114" s="45"/>
      <c r="T114" s="45"/>
      <c r="U114" s="45"/>
    </row>
    <row r="115" customFormat="false" ht="14.4" hidden="false" customHeight="false" outlineLevel="0" collapsed="false">
      <c r="A115" s="45"/>
      <c r="B115" s="45"/>
      <c r="C115" s="45"/>
      <c r="D115" s="45"/>
      <c r="E115" s="45"/>
      <c r="F115" s="45"/>
      <c r="G115" s="45"/>
      <c r="H115" s="45"/>
      <c r="I115" s="45"/>
      <c r="J115" s="45"/>
      <c r="K115" s="45"/>
      <c r="L115" s="45"/>
      <c r="M115" s="45"/>
      <c r="N115" s="45"/>
      <c r="O115" s="45"/>
      <c r="P115" s="45"/>
      <c r="Q115" s="45"/>
      <c r="R115" s="45"/>
      <c r="S115" s="45"/>
      <c r="T115" s="45"/>
      <c r="U115" s="45"/>
    </row>
    <row r="116" customFormat="false" ht="14.4" hidden="false" customHeight="false" outlineLevel="0" collapsed="false">
      <c r="A116" s="45"/>
      <c r="B116" s="45"/>
      <c r="C116" s="45"/>
      <c r="D116" s="45"/>
      <c r="E116" s="45"/>
      <c r="F116" s="45"/>
      <c r="G116" s="45"/>
      <c r="H116" s="45"/>
      <c r="I116" s="45"/>
      <c r="J116" s="45"/>
      <c r="K116" s="45"/>
      <c r="L116" s="45"/>
      <c r="M116" s="45"/>
      <c r="N116" s="45"/>
      <c r="O116" s="45"/>
      <c r="P116" s="45"/>
      <c r="Q116" s="45"/>
      <c r="R116" s="45"/>
      <c r="S116" s="45"/>
      <c r="T116" s="45"/>
      <c r="U116" s="45"/>
    </row>
    <row r="117" customFormat="false" ht="14.4" hidden="false" customHeight="false" outlineLevel="0" collapsed="false">
      <c r="A117" s="45"/>
      <c r="B117" s="45"/>
      <c r="C117" s="45"/>
      <c r="D117" s="45"/>
      <c r="E117" s="45"/>
      <c r="F117" s="45"/>
      <c r="G117" s="45"/>
      <c r="H117" s="45"/>
      <c r="I117" s="45"/>
      <c r="J117" s="45"/>
      <c r="K117" s="45"/>
      <c r="L117" s="45"/>
      <c r="M117" s="45"/>
      <c r="N117" s="45"/>
      <c r="O117" s="45"/>
      <c r="P117" s="45"/>
      <c r="Q117" s="45"/>
      <c r="R117" s="45"/>
      <c r="S117" s="45"/>
      <c r="T117" s="45"/>
      <c r="U117" s="45"/>
    </row>
    <row r="118" customFormat="false" ht="14.4" hidden="false" customHeight="false" outlineLevel="0" collapsed="false">
      <c r="A118" s="45"/>
      <c r="B118" s="45"/>
      <c r="C118" s="45"/>
      <c r="D118" s="45"/>
      <c r="E118" s="45"/>
      <c r="F118" s="45"/>
      <c r="G118" s="45"/>
      <c r="H118" s="45"/>
      <c r="I118" s="45"/>
      <c r="J118" s="45"/>
      <c r="K118" s="45"/>
      <c r="L118" s="45"/>
      <c r="M118" s="45"/>
      <c r="N118" s="45"/>
      <c r="O118" s="45"/>
      <c r="P118" s="45"/>
      <c r="Q118" s="45"/>
      <c r="R118" s="45"/>
      <c r="S118" s="45"/>
      <c r="T118" s="45"/>
      <c r="U118" s="45"/>
    </row>
    <row r="119" customFormat="false" ht="14.4" hidden="false" customHeight="false" outlineLevel="0" collapsed="false">
      <c r="A119" s="45"/>
      <c r="B119" s="45"/>
      <c r="C119" s="45"/>
      <c r="D119" s="45"/>
      <c r="E119" s="45"/>
      <c r="F119" s="45"/>
      <c r="G119" s="45"/>
      <c r="H119" s="45"/>
      <c r="I119" s="45"/>
      <c r="J119" s="45"/>
      <c r="K119" s="45"/>
      <c r="L119" s="45"/>
      <c r="M119" s="45"/>
      <c r="N119" s="45"/>
      <c r="O119" s="45"/>
      <c r="P119" s="45"/>
      <c r="Q119" s="45"/>
      <c r="R119" s="45"/>
      <c r="S119" s="45"/>
      <c r="T119" s="45"/>
      <c r="U119" s="45"/>
    </row>
    <row r="120" customFormat="false" ht="14.4" hidden="false" customHeight="false" outlineLevel="0" collapsed="false">
      <c r="A120" s="45"/>
      <c r="B120" s="45"/>
      <c r="C120" s="45"/>
      <c r="D120" s="45"/>
      <c r="E120" s="45"/>
      <c r="F120" s="45"/>
      <c r="G120" s="45"/>
      <c r="H120" s="45"/>
      <c r="I120" s="45"/>
      <c r="J120" s="45"/>
      <c r="K120" s="45"/>
      <c r="L120" s="45"/>
      <c r="M120" s="45"/>
      <c r="N120" s="45"/>
      <c r="O120" s="45"/>
      <c r="P120" s="45"/>
      <c r="Q120" s="45"/>
      <c r="R120" s="45"/>
      <c r="S120" s="45"/>
      <c r="T120" s="45"/>
      <c r="U120" s="45"/>
    </row>
    <row r="121" customFormat="false" ht="14.4" hidden="false" customHeight="false" outlineLevel="0" collapsed="false">
      <c r="A121" s="45"/>
      <c r="B121" s="45"/>
      <c r="C121" s="45"/>
      <c r="D121" s="45"/>
      <c r="E121" s="45"/>
      <c r="F121" s="45"/>
      <c r="G121" s="45"/>
      <c r="H121" s="45"/>
      <c r="I121" s="45"/>
      <c r="J121" s="45"/>
      <c r="K121" s="45"/>
      <c r="L121" s="45"/>
      <c r="M121" s="45"/>
      <c r="N121" s="45"/>
      <c r="O121" s="45"/>
      <c r="P121" s="45"/>
      <c r="Q121" s="45"/>
      <c r="R121" s="45"/>
      <c r="S121" s="45"/>
      <c r="T121" s="45"/>
      <c r="U121" s="45"/>
    </row>
    <row r="122" customFormat="false" ht="14.4" hidden="false" customHeight="false" outlineLevel="0" collapsed="false">
      <c r="A122" s="45"/>
      <c r="B122" s="45"/>
      <c r="C122" s="45"/>
      <c r="D122" s="45"/>
      <c r="E122" s="45"/>
      <c r="F122" s="45"/>
      <c r="G122" s="45"/>
      <c r="H122" s="45"/>
      <c r="I122" s="45"/>
      <c r="J122" s="45"/>
      <c r="K122" s="45"/>
      <c r="L122" s="45"/>
      <c r="M122" s="45"/>
      <c r="N122" s="45"/>
      <c r="O122" s="45"/>
      <c r="P122" s="45"/>
      <c r="Q122" s="45"/>
      <c r="R122" s="45"/>
      <c r="S122" s="45"/>
      <c r="T122" s="45"/>
      <c r="U122" s="45"/>
    </row>
    <row r="123" customFormat="false" ht="14.4" hidden="false" customHeight="false" outlineLevel="0" collapsed="false">
      <c r="A123" s="45"/>
      <c r="B123" s="45"/>
      <c r="C123" s="45"/>
      <c r="D123" s="45"/>
      <c r="E123" s="45"/>
      <c r="F123" s="45"/>
      <c r="G123" s="45"/>
      <c r="H123" s="45"/>
      <c r="I123" s="45"/>
      <c r="J123" s="45"/>
      <c r="K123" s="45"/>
      <c r="L123" s="45"/>
      <c r="M123" s="45"/>
      <c r="N123" s="45"/>
      <c r="O123" s="45"/>
      <c r="P123" s="45"/>
      <c r="Q123" s="45"/>
      <c r="R123" s="45"/>
      <c r="S123" s="45"/>
      <c r="T123" s="45"/>
      <c r="U123" s="45"/>
    </row>
    <row r="124" customFormat="false" ht="14.4" hidden="false" customHeight="false" outlineLevel="0" collapsed="false">
      <c r="A124" s="45"/>
      <c r="B124" s="45"/>
      <c r="C124" s="45"/>
      <c r="D124" s="45"/>
      <c r="E124" s="45"/>
      <c r="F124" s="45"/>
      <c r="G124" s="45"/>
      <c r="H124" s="45"/>
      <c r="I124" s="45"/>
      <c r="J124" s="45"/>
      <c r="K124" s="45"/>
      <c r="L124" s="45"/>
      <c r="M124" s="45"/>
      <c r="N124" s="45"/>
      <c r="O124" s="45"/>
      <c r="P124" s="45"/>
      <c r="Q124" s="45"/>
      <c r="R124" s="45"/>
      <c r="S124" s="45"/>
      <c r="T124" s="45"/>
      <c r="U124" s="45"/>
    </row>
    <row r="125" customFormat="false" ht="14.4" hidden="false" customHeight="false" outlineLevel="0" collapsed="false">
      <c r="A125" s="45"/>
      <c r="B125" s="45"/>
      <c r="C125" s="45"/>
      <c r="D125" s="45"/>
      <c r="E125" s="45"/>
      <c r="F125" s="45"/>
      <c r="G125" s="45"/>
      <c r="H125" s="45"/>
      <c r="I125" s="45"/>
      <c r="J125" s="45"/>
      <c r="K125" s="45"/>
      <c r="L125" s="45"/>
      <c r="M125" s="45"/>
      <c r="N125" s="45"/>
      <c r="O125" s="45"/>
      <c r="P125" s="45"/>
      <c r="Q125" s="45"/>
      <c r="R125" s="45"/>
      <c r="S125" s="45"/>
      <c r="T125" s="45"/>
      <c r="U125" s="45"/>
    </row>
    <row r="126" customFormat="false" ht="14.4" hidden="false" customHeight="false" outlineLevel="0" collapsed="false">
      <c r="A126" s="45"/>
      <c r="B126" s="45"/>
      <c r="C126" s="45"/>
      <c r="D126" s="45"/>
      <c r="E126" s="45"/>
      <c r="F126" s="45"/>
      <c r="G126" s="45"/>
      <c r="H126" s="45"/>
      <c r="I126" s="45"/>
      <c r="J126" s="45"/>
      <c r="K126" s="45"/>
      <c r="L126" s="45"/>
      <c r="M126" s="45"/>
      <c r="N126" s="45"/>
      <c r="O126" s="45"/>
      <c r="P126" s="45"/>
      <c r="Q126" s="45"/>
      <c r="R126" s="45"/>
      <c r="S126" s="45"/>
      <c r="T126" s="45"/>
      <c r="U126" s="45"/>
    </row>
    <row r="127" customFormat="false" ht="14.4" hidden="false" customHeight="false" outlineLevel="0" collapsed="false">
      <c r="A127" s="45"/>
      <c r="B127" s="45"/>
      <c r="C127" s="45"/>
      <c r="D127" s="45"/>
      <c r="E127" s="45"/>
      <c r="F127" s="45"/>
      <c r="G127" s="45"/>
      <c r="H127" s="45"/>
      <c r="I127" s="45"/>
      <c r="J127" s="45"/>
      <c r="K127" s="45"/>
      <c r="L127" s="45"/>
      <c r="M127" s="45"/>
      <c r="N127" s="45"/>
      <c r="O127" s="45"/>
      <c r="P127" s="45"/>
      <c r="Q127" s="45"/>
      <c r="R127" s="45"/>
      <c r="S127" s="45"/>
      <c r="T127" s="45"/>
      <c r="U127" s="45"/>
    </row>
    <row r="128" customFormat="false" ht="14.4" hidden="false" customHeight="false" outlineLevel="0" collapsed="false">
      <c r="A128" s="45"/>
      <c r="B128" s="45"/>
      <c r="C128" s="45"/>
      <c r="D128" s="45"/>
      <c r="E128" s="45"/>
      <c r="F128" s="45"/>
      <c r="G128" s="45"/>
      <c r="H128" s="45"/>
      <c r="I128" s="45"/>
      <c r="J128" s="45"/>
      <c r="K128" s="45"/>
      <c r="L128" s="45"/>
      <c r="M128" s="45"/>
      <c r="N128" s="45"/>
      <c r="O128" s="45"/>
      <c r="P128" s="45"/>
      <c r="Q128" s="45"/>
      <c r="R128" s="45"/>
      <c r="S128" s="45"/>
      <c r="T128" s="45"/>
      <c r="U128" s="45"/>
    </row>
    <row r="129" customFormat="false" ht="14.4" hidden="false" customHeight="false" outlineLevel="0" collapsed="false">
      <c r="A129" s="45"/>
      <c r="B129" s="45"/>
      <c r="C129" s="45"/>
      <c r="D129" s="45"/>
      <c r="E129" s="45"/>
      <c r="F129" s="45"/>
      <c r="G129" s="45"/>
      <c r="H129" s="45"/>
      <c r="I129" s="45"/>
      <c r="J129" s="45"/>
      <c r="K129" s="45"/>
      <c r="L129" s="45"/>
      <c r="M129" s="45"/>
      <c r="N129" s="45"/>
      <c r="O129" s="45"/>
      <c r="P129" s="45"/>
      <c r="Q129" s="45"/>
      <c r="R129" s="45"/>
      <c r="S129" s="45"/>
      <c r="T129" s="45"/>
      <c r="U129" s="45"/>
    </row>
    <row r="130" customFormat="false" ht="14.4" hidden="false" customHeight="false" outlineLevel="0" collapsed="false">
      <c r="A130" s="45"/>
      <c r="B130" s="45"/>
      <c r="C130" s="45"/>
      <c r="D130" s="45"/>
      <c r="E130" s="45"/>
      <c r="F130" s="45"/>
      <c r="G130" s="45"/>
      <c r="H130" s="45"/>
      <c r="I130" s="45"/>
      <c r="J130" s="45"/>
      <c r="K130" s="45"/>
      <c r="L130" s="45"/>
      <c r="M130" s="45"/>
      <c r="N130" s="45"/>
      <c r="O130" s="45"/>
      <c r="P130" s="45"/>
      <c r="Q130" s="45"/>
      <c r="R130" s="45"/>
      <c r="S130" s="45"/>
      <c r="T130" s="45"/>
      <c r="U130" s="45"/>
    </row>
    <row r="131" customFormat="false" ht="14.4" hidden="false" customHeight="false" outlineLevel="0" collapsed="false">
      <c r="A131" s="45"/>
      <c r="B131" s="45"/>
      <c r="C131" s="45"/>
      <c r="D131" s="45"/>
      <c r="E131" s="45"/>
      <c r="F131" s="45"/>
      <c r="G131" s="45"/>
      <c r="H131" s="45"/>
      <c r="I131" s="45"/>
      <c r="J131" s="45"/>
      <c r="K131" s="45"/>
      <c r="L131" s="45"/>
      <c r="M131" s="45"/>
      <c r="N131" s="45"/>
      <c r="O131" s="45"/>
      <c r="P131" s="45"/>
      <c r="Q131" s="45"/>
      <c r="R131" s="45"/>
      <c r="S131" s="45"/>
      <c r="T131" s="45"/>
      <c r="U131" s="45"/>
    </row>
    <row r="132" customFormat="false" ht="14.4" hidden="false" customHeight="false" outlineLevel="0" collapsed="false">
      <c r="A132" s="45"/>
      <c r="B132" s="45"/>
      <c r="C132" s="45"/>
      <c r="D132" s="45"/>
      <c r="E132" s="45"/>
      <c r="F132" s="45"/>
      <c r="G132" s="45"/>
      <c r="H132" s="45"/>
      <c r="I132" s="45"/>
      <c r="J132" s="45"/>
      <c r="K132" s="45"/>
      <c r="L132" s="45"/>
      <c r="M132" s="45"/>
      <c r="N132" s="45"/>
      <c r="O132" s="45"/>
      <c r="P132" s="45"/>
      <c r="Q132" s="45"/>
      <c r="R132" s="45"/>
      <c r="S132" s="45"/>
      <c r="T132" s="45"/>
      <c r="U132" s="45"/>
    </row>
    <row r="133" customFormat="false" ht="14.4" hidden="false" customHeight="false" outlineLevel="0" collapsed="false">
      <c r="A133" s="45"/>
      <c r="B133" s="45"/>
      <c r="C133" s="45"/>
      <c r="D133" s="45"/>
      <c r="E133" s="45"/>
      <c r="F133" s="45"/>
      <c r="G133" s="45"/>
      <c r="H133" s="45"/>
      <c r="I133" s="45"/>
      <c r="J133" s="45"/>
      <c r="K133" s="45"/>
      <c r="L133" s="45"/>
      <c r="M133" s="45"/>
      <c r="N133" s="45"/>
      <c r="O133" s="45"/>
      <c r="P133" s="45"/>
      <c r="Q133" s="45"/>
      <c r="R133" s="45"/>
      <c r="S133" s="45"/>
      <c r="T133" s="45"/>
      <c r="U133" s="45"/>
    </row>
    <row r="134" customFormat="false" ht="14.4" hidden="false" customHeight="false" outlineLevel="0" collapsed="false">
      <c r="A134" s="45"/>
      <c r="B134" s="45"/>
      <c r="C134" s="45"/>
      <c r="D134" s="45"/>
      <c r="E134" s="45"/>
      <c r="F134" s="45"/>
      <c r="G134" s="45"/>
      <c r="H134" s="45"/>
      <c r="I134" s="45"/>
      <c r="J134" s="45"/>
      <c r="K134" s="45"/>
      <c r="L134" s="45"/>
      <c r="M134" s="45"/>
      <c r="N134" s="45"/>
      <c r="O134" s="45"/>
      <c r="P134" s="45"/>
      <c r="Q134" s="45"/>
      <c r="R134" s="45"/>
      <c r="S134" s="45"/>
      <c r="T134" s="45"/>
      <c r="U134" s="45"/>
    </row>
    <row r="135" customFormat="false" ht="14.4" hidden="false" customHeight="false" outlineLevel="0" collapsed="false">
      <c r="A135" s="45"/>
      <c r="B135" s="45"/>
      <c r="C135" s="45"/>
      <c r="D135" s="45"/>
      <c r="E135" s="45"/>
      <c r="F135" s="45"/>
      <c r="G135" s="45"/>
      <c r="H135" s="45"/>
      <c r="I135" s="45"/>
      <c r="J135" s="45"/>
      <c r="K135" s="45"/>
      <c r="L135" s="45"/>
      <c r="M135" s="45"/>
      <c r="N135" s="45"/>
      <c r="O135" s="45"/>
      <c r="P135" s="45"/>
      <c r="Q135" s="45"/>
      <c r="R135" s="45"/>
      <c r="S135" s="45"/>
      <c r="T135" s="45"/>
      <c r="U135" s="45"/>
    </row>
    <row r="136" customFormat="false" ht="14.4" hidden="false" customHeight="false" outlineLevel="0" collapsed="false">
      <c r="A136" s="45"/>
      <c r="B136" s="45"/>
      <c r="C136" s="45"/>
      <c r="D136" s="45"/>
      <c r="E136" s="45"/>
      <c r="F136" s="45"/>
      <c r="G136" s="45"/>
      <c r="H136" s="45"/>
      <c r="I136" s="45"/>
      <c r="J136" s="45"/>
      <c r="K136" s="45"/>
      <c r="L136" s="45"/>
      <c r="M136" s="45"/>
      <c r="N136" s="45"/>
      <c r="O136" s="45"/>
      <c r="P136" s="45"/>
      <c r="Q136" s="45"/>
      <c r="R136" s="45"/>
      <c r="S136" s="45"/>
      <c r="T136" s="45"/>
      <c r="U136" s="45"/>
    </row>
    <row r="137" customFormat="false" ht="14.4" hidden="false" customHeight="false" outlineLevel="0" collapsed="false">
      <c r="A137" s="45"/>
      <c r="B137" s="45"/>
      <c r="C137" s="45"/>
      <c r="D137" s="45"/>
      <c r="E137" s="45"/>
      <c r="F137" s="45"/>
      <c r="G137" s="45"/>
      <c r="H137" s="45"/>
      <c r="I137" s="45"/>
      <c r="J137" s="45"/>
      <c r="K137" s="45"/>
      <c r="L137" s="45"/>
      <c r="M137" s="45"/>
      <c r="N137" s="45"/>
      <c r="O137" s="45"/>
      <c r="P137" s="45"/>
      <c r="Q137" s="45"/>
      <c r="R137" s="45"/>
      <c r="S137" s="45"/>
      <c r="T137" s="45"/>
      <c r="U137" s="45"/>
    </row>
    <row r="138" customFormat="false" ht="14.4" hidden="false" customHeight="false" outlineLevel="0" collapsed="false">
      <c r="A138" s="45"/>
      <c r="B138" s="45"/>
      <c r="C138" s="45"/>
      <c r="D138" s="45"/>
      <c r="E138" s="45"/>
      <c r="F138" s="45"/>
      <c r="G138" s="45"/>
      <c r="H138" s="45"/>
      <c r="I138" s="45"/>
      <c r="J138" s="45"/>
      <c r="K138" s="45"/>
      <c r="L138" s="45"/>
      <c r="M138" s="45"/>
      <c r="N138" s="45"/>
      <c r="O138" s="45"/>
      <c r="P138" s="45"/>
      <c r="Q138" s="45"/>
      <c r="R138" s="45"/>
      <c r="S138" s="45"/>
      <c r="T138" s="45"/>
      <c r="U138" s="45"/>
    </row>
    <row r="139" customFormat="false" ht="14.4" hidden="false" customHeight="false" outlineLevel="0" collapsed="false">
      <c r="A139" s="45"/>
      <c r="B139" s="45"/>
      <c r="C139" s="45"/>
      <c r="D139" s="45"/>
      <c r="E139" s="45"/>
      <c r="F139" s="45"/>
      <c r="G139" s="45"/>
      <c r="H139" s="45"/>
      <c r="I139" s="45"/>
      <c r="J139" s="45"/>
      <c r="K139" s="45"/>
      <c r="L139" s="45"/>
      <c r="M139" s="45"/>
      <c r="N139" s="45"/>
      <c r="O139" s="45"/>
      <c r="P139" s="45"/>
      <c r="Q139" s="45"/>
      <c r="R139" s="45"/>
      <c r="S139" s="45"/>
      <c r="T139" s="45"/>
      <c r="U139" s="45"/>
    </row>
    <row r="140" customFormat="false" ht="14.4" hidden="false" customHeight="false" outlineLevel="0" collapsed="false">
      <c r="A140" s="45"/>
      <c r="B140" s="45"/>
      <c r="C140" s="45"/>
      <c r="D140" s="45"/>
      <c r="E140" s="45"/>
      <c r="F140" s="45"/>
      <c r="G140" s="45"/>
      <c r="H140" s="45"/>
      <c r="I140" s="45"/>
      <c r="J140" s="45"/>
      <c r="K140" s="45"/>
      <c r="L140" s="45"/>
      <c r="M140" s="45"/>
      <c r="N140" s="45"/>
      <c r="O140" s="45"/>
      <c r="P140" s="45"/>
      <c r="Q140" s="45"/>
      <c r="R140" s="45"/>
      <c r="S140" s="45"/>
      <c r="T140" s="45"/>
      <c r="U140" s="45"/>
    </row>
  </sheetData>
  <mergeCells count="6">
    <mergeCell ref="J2:L2"/>
    <mergeCell ref="J16:L16"/>
    <mergeCell ref="J30:L30"/>
    <mergeCell ref="J44:L44"/>
    <mergeCell ref="J58:L58"/>
    <mergeCell ref="J72:L72"/>
  </mergeCells>
  <conditionalFormatting sqref="C89:C108">
    <cfRule type="colorScale" priority="2">
      <colorScale>
        <cfvo type="min" val="0"/>
        <cfvo type="percentile" val="50"/>
        <cfvo type="max" val="0"/>
        <color rgb="FFC00000"/>
        <color rgb="FFBF9000"/>
        <color rgb="FF385724"/>
      </colorScale>
    </cfRule>
  </conditionalFormatting>
  <conditionalFormatting sqref="D89:D108">
    <cfRule type="colorScale" priority="3">
      <colorScale>
        <cfvo type="min" val="0"/>
        <cfvo type="percentile" val="50"/>
        <cfvo type="max" val="0"/>
        <color rgb="FFC00000"/>
        <color rgb="FFBF9000"/>
        <color rgb="FF385724"/>
      </colorScale>
    </cfRule>
  </conditionalFormatting>
  <conditionalFormatting sqref="E89:E108">
    <cfRule type="colorScale" priority="4">
      <colorScale>
        <cfvo type="min" val="0"/>
        <cfvo type="percentile" val="50"/>
        <cfvo type="max" val="0"/>
        <color rgb="FFC00000"/>
        <color rgb="FFBF9000"/>
        <color rgb="FF385724"/>
      </colorScale>
    </cfRule>
  </conditionalFormatting>
  <conditionalFormatting sqref="F89:F108">
    <cfRule type="colorScale" priority="5">
      <colorScale>
        <cfvo type="min" val="0"/>
        <cfvo type="percentile" val="50"/>
        <cfvo type="max" val="0"/>
        <color rgb="FFC00000"/>
        <color rgb="FFBF9000"/>
        <color rgb="FF385724"/>
      </colorScale>
    </cfRule>
  </conditionalFormatting>
  <conditionalFormatting sqref="M89:M108">
    <cfRule type="colorScale" priority="6">
      <colorScale>
        <cfvo type="min" val="0"/>
        <cfvo type="percentile" val="50"/>
        <cfvo type="max" val="0"/>
        <color rgb="FFC00000"/>
        <color rgb="FFBF9000"/>
        <color rgb="FF385724"/>
      </colorScale>
    </cfRule>
  </conditionalFormatting>
  <conditionalFormatting sqref="N89:N108">
    <cfRule type="colorScale" priority="7">
      <colorScale>
        <cfvo type="min" val="0"/>
        <cfvo type="percentile" val="50"/>
        <cfvo type="max" val="0"/>
        <color rgb="FFC00000"/>
        <color rgb="FFBF9000"/>
        <color rgb="FF385724"/>
      </colorScale>
    </cfRule>
  </conditionalFormatting>
  <conditionalFormatting sqref="O89:O108">
    <cfRule type="colorScale" priority="8">
      <colorScale>
        <cfvo type="min" val="0"/>
        <cfvo type="percentile" val="50"/>
        <cfvo type="max" val="0"/>
        <color rgb="FFC00000"/>
        <color rgb="FFBF9000"/>
        <color rgb="FF385724"/>
      </colorScale>
    </cfRule>
  </conditionalFormatting>
  <conditionalFormatting sqref="P89:P108">
    <cfRule type="colorScale" priority="9">
      <colorScale>
        <cfvo type="min" val="0"/>
        <cfvo type="percentile" val="50"/>
        <cfvo type="max" val="0"/>
        <color rgb="FFC00000"/>
        <color rgb="FFBF9000"/>
        <color rgb="FF385724"/>
      </colorScale>
    </cfRule>
  </conditionalFormatting>
  <dataValidations count="5">
    <dataValidation allowBlank="true" errorStyle="stop" operator="between" showDropDown="false" showErrorMessage="true" showInputMessage="true" sqref="D3:F3 D17:F17 D31:F31 D45:F45 D59:F59 D73:F73" type="list">
      <formula1>INDIRECT("AuxType[Type]")</formula1>
      <formula2>0</formula2>
    </dataValidation>
    <dataValidation allowBlank="true" errorStyle="stop" operator="between" showDropDown="false" showErrorMessage="true" showInputMessage="true" sqref="C2 C16 C30 C44 C58 C72" type="list">
      <formula1>INDIRECT(INDEX(INDIRECT("SType[Type]"), MATCH(B2,INDIRECT("Stype[Ship]"), 0))&amp;"Table[Name]")</formula1>
      <formula2>0</formula2>
    </dataValidation>
    <dataValidation allowBlank="true" errorStyle="stop" operator="between" showDropDown="false" showErrorMessage="true" showInputMessage="true" sqref="B2 B16 B30 B44 B58 B72" type="list">
      <formula1>INDIRECT("Stype[Ship]")</formula1>
      <formula2>0</formula2>
    </dataValidation>
    <dataValidation allowBlank="true" errorStyle="stop" operator="between" showDropDown="false" showErrorMessage="true" showInputMessage="true" sqref="G3:H3 G17:H17 G31:H31 G45:H45 G59:H59 G73:H73" type="list">
      <formula1>INDIRECT("EquipType[Type]")</formula1>
      <formula2>0</formula2>
    </dataValidation>
    <dataValidation allowBlank="true" errorStyle="stop" operator="between" showDropDown="false" showErrorMessage="true" showInputMessage="true" sqref="D4:H4 D18:H18 D32:H32 D46:H46 D60:H60 D74:H74" type="list">
      <formula1>INDIRECT(D59&amp;"Table[Name]")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8.58984375" defaultRowHeight="14.4" zeroHeight="false" outlineLevelRow="0" outlineLevelCol="0"/>
  <cols>
    <col collapsed="false" customWidth="true" hidden="false" outlineLevel="0" max="2" min="2" style="0" width="10.65"/>
    <col collapsed="false" customWidth="true" hidden="false" outlineLevel="0" max="5" min="5" style="0" width="9.66"/>
  </cols>
  <sheetData>
    <row r="1" customFormat="false" ht="14.4" hidden="false" customHeight="false" outlineLevel="0" collapsed="false">
      <c r="A1" s="144" t="s">
        <v>406</v>
      </c>
      <c r="B1" s="144" t="s">
        <v>407</v>
      </c>
      <c r="C1" s="144" t="s">
        <v>45</v>
      </c>
      <c r="D1" s="144" t="s">
        <v>408</v>
      </c>
      <c r="E1" s="144" t="s">
        <v>409</v>
      </c>
      <c r="G1" s="0" t="s">
        <v>410</v>
      </c>
    </row>
    <row r="2" customFormat="false" ht="14.4" hidden="false" customHeight="false" outlineLevel="0" collapsed="false">
      <c r="A2" s="0" t="s">
        <v>411</v>
      </c>
      <c r="B2" s="0" t="s">
        <v>412</v>
      </c>
      <c r="C2" s="0" t="n">
        <v>896</v>
      </c>
      <c r="D2" s="0" t="n">
        <v>30</v>
      </c>
      <c r="E2" s="0" t="n">
        <v>19.31</v>
      </c>
      <c r="G2" s="0" t="s">
        <v>413</v>
      </c>
    </row>
    <row r="3" customFormat="false" ht="14.4" hidden="false" customHeight="false" outlineLevel="0" collapsed="false">
      <c r="A3" s="0" t="s">
        <v>411</v>
      </c>
      <c r="B3" s="0" t="s">
        <v>414</v>
      </c>
      <c r="C3" s="0" t="n">
        <v>1176</v>
      </c>
      <c r="D3" s="0" t="n">
        <v>33</v>
      </c>
      <c r="E3" s="0" t="n">
        <v>21.24</v>
      </c>
      <c r="J3" s="0" t="n">
        <v>2.4</v>
      </c>
      <c r="K3" s="0" t="n">
        <f aca="false">46</f>
        <v>46</v>
      </c>
    </row>
    <row r="4" customFormat="false" ht="14.4" hidden="false" customHeight="false" outlineLevel="0" collapsed="false">
      <c r="J4" s="0" t="n">
        <v>2.1</v>
      </c>
      <c r="K4" s="0" t="n">
        <f aca="false">40</f>
        <v>40</v>
      </c>
    </row>
    <row r="5" customFormat="false" ht="14.4" hidden="false" customHeight="false" outlineLevel="0" collapsed="false">
      <c r="J5" s="0" t="n">
        <v>2.9</v>
      </c>
      <c r="K5" s="0" t="n">
        <f aca="false">(28*2)</f>
        <v>56</v>
      </c>
    </row>
    <row r="6" customFormat="false" ht="14.4" hidden="false" customHeight="false" outlineLevel="0" collapsed="false">
      <c r="K6" s="0" t="n">
        <f aca="false">E2*4</f>
        <v>77.24</v>
      </c>
    </row>
    <row r="7" customFormat="false" ht="14.4" hidden="false" customHeight="false" outlineLevel="0" collapsed="false">
      <c r="E7" s="0" t="n">
        <f aca="false">45/30*E2</f>
        <v>28.965</v>
      </c>
      <c r="K7" s="0" t="n">
        <f aca="false">K6/E2</f>
        <v>4</v>
      </c>
    </row>
    <row r="8" customFormat="false" ht="14.4" hidden="false" customHeight="false" outlineLevel="0" collapsed="false">
      <c r="F8" s="0" t="n">
        <f aca="false">0.1*E7</f>
        <v>2.8965</v>
      </c>
      <c r="G8" s="0" t="n">
        <f aca="false">((52+5)/D2)*E2</f>
        <v>36.689</v>
      </c>
      <c r="K8" s="0" t="n">
        <f aca="false">K6/E3</f>
        <v>3.63653483992467</v>
      </c>
    </row>
    <row r="9" customFormat="false" ht="14.4" hidden="false" customHeight="false" outlineLevel="0" collapsed="false">
      <c r="G9" s="0" t="n">
        <f aca="false">1.1*G8</f>
        <v>40.3579</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86"/>
  <sheetViews>
    <sheetView showFormulas="false" showGridLines="true" showRowColHeaders="true" showZeros="true" rightToLeft="false" tabSelected="true" showOutlineSymbols="true" defaultGridColor="true" view="normal" topLeftCell="A344" colorId="64" zoomScale="80" zoomScaleNormal="80" zoomScalePageLayoutView="100" workbookViewId="0">
      <selection pane="topLeft" activeCell="J366" activeCellId="0" sqref="J366"/>
    </sheetView>
  </sheetViews>
  <sheetFormatPr defaultColWidth="8.58984375" defaultRowHeight="14.4" zeroHeight="false" outlineLevelRow="0" outlineLevelCol="0"/>
  <cols>
    <col collapsed="false" customWidth="true" hidden="false" outlineLevel="0" max="1" min="1" style="0" width="12.1"/>
    <col collapsed="false" customWidth="true" hidden="false" outlineLevel="0" max="2" min="2" style="0" width="31.55"/>
    <col collapsed="false" customWidth="true" hidden="false" outlineLevel="0" max="4" min="3" style="0" width="10.65"/>
    <col collapsed="false" customWidth="true" hidden="false" outlineLevel="0" max="5" min="5" style="0" width="8.89"/>
    <col collapsed="false" customWidth="true" hidden="false" outlineLevel="0" max="6" min="6" style="0" width="10.65"/>
    <col collapsed="false" customWidth="true" hidden="false" outlineLevel="0" max="7" min="7" style="0" width="13.33"/>
    <col collapsed="false" customWidth="true" hidden="false" outlineLevel="0" max="16" min="8" style="0" width="10.65"/>
    <col collapsed="false" customWidth="true" hidden="false" outlineLevel="0" max="18" min="17" style="114" width="10"/>
    <col collapsed="false" customWidth="true" hidden="false" outlineLevel="0" max="19" min="19" style="0" width="10"/>
    <col collapsed="false" customWidth="true" hidden="false" outlineLevel="0" max="20" min="20" style="0" width="9.56"/>
    <col collapsed="false" customWidth="true" hidden="false" outlineLevel="0" max="21" min="21" style="0" width="10.33"/>
    <col collapsed="false" customWidth="true" hidden="false" outlineLevel="0" max="22" min="22" style="0" width="9"/>
    <col collapsed="false" customWidth="true" hidden="false" outlineLevel="0" max="23" min="23" style="0" width="8.89"/>
    <col collapsed="false" customWidth="true" hidden="false" outlineLevel="0" max="26" min="24" style="0" width="12.66"/>
  </cols>
  <sheetData>
    <row r="1" customFormat="false" ht="14.4" hidden="false" customHeight="false" outlineLevel="0" collapsed="false">
      <c r="A1" s="144" t="s">
        <v>415</v>
      </c>
      <c r="B1" s="144" t="s">
        <v>97</v>
      </c>
      <c r="C1" s="144" t="s">
        <v>139</v>
      </c>
      <c r="D1" s="144" t="s">
        <v>416</v>
      </c>
      <c r="E1" s="144" t="s">
        <v>96</v>
      </c>
      <c r="F1" s="144" t="s">
        <v>45</v>
      </c>
      <c r="G1" s="144" t="s">
        <v>417</v>
      </c>
      <c r="H1" s="144" t="s">
        <v>100</v>
      </c>
      <c r="I1" s="144" t="s">
        <v>98</v>
      </c>
      <c r="J1" s="144" t="s">
        <v>99</v>
      </c>
      <c r="K1" s="144" t="s">
        <v>46</v>
      </c>
      <c r="L1" s="144" t="s">
        <v>50</v>
      </c>
      <c r="M1" s="144" t="s">
        <v>262</v>
      </c>
      <c r="N1" s="144" t="s">
        <v>418</v>
      </c>
      <c r="O1" s="144" t="s">
        <v>105</v>
      </c>
      <c r="P1" s="144" t="s">
        <v>419</v>
      </c>
      <c r="Q1" s="145" t="s">
        <v>420</v>
      </c>
      <c r="R1" s="145" t="s">
        <v>421</v>
      </c>
      <c r="S1" s="144" t="s">
        <v>380</v>
      </c>
      <c r="T1" s="144" t="s">
        <v>382</v>
      </c>
      <c r="U1" s="144" t="s">
        <v>422</v>
      </c>
      <c r="V1" s="144" t="s">
        <v>423</v>
      </c>
      <c r="W1" s="144" t="s">
        <v>424</v>
      </c>
      <c r="X1" s="144" t="s">
        <v>425</v>
      </c>
      <c r="Y1" s="144" t="s">
        <v>426</v>
      </c>
      <c r="Z1" s="144" t="s">
        <v>427</v>
      </c>
    </row>
    <row r="2" customFormat="false" ht="14.4" hidden="false" customHeight="false" outlineLevel="0" collapsed="false">
      <c r="A2" s="0" t="n">
        <v>232</v>
      </c>
      <c r="B2" s="0" t="s">
        <v>428</v>
      </c>
      <c r="C2" s="0" t="s">
        <v>429</v>
      </c>
      <c r="D2" s="0" t="s">
        <v>430</v>
      </c>
      <c r="E2" s="0" t="s">
        <v>363</v>
      </c>
      <c r="F2" s="0" t="n">
        <v>4125</v>
      </c>
      <c r="G2" s="0" t="s">
        <v>138</v>
      </c>
      <c r="H2" s="0" t="n">
        <v>181</v>
      </c>
      <c r="I2" s="0" t="n">
        <v>44</v>
      </c>
      <c r="J2" s="0" t="n">
        <v>0</v>
      </c>
      <c r="K2" s="0" t="n">
        <v>45</v>
      </c>
      <c r="L2" s="0" t="n">
        <v>160</v>
      </c>
      <c r="M2" s="0" t="n">
        <v>0</v>
      </c>
      <c r="N2" s="0" t="n">
        <v>11</v>
      </c>
      <c r="O2" s="0" t="n">
        <v>0</v>
      </c>
      <c r="P2" s="0" t="n">
        <v>19</v>
      </c>
      <c r="Q2" s="114" t="n">
        <v>53</v>
      </c>
      <c r="R2" s="114" t="n">
        <v>107</v>
      </c>
      <c r="S2" s="114" t="n">
        <v>1</v>
      </c>
      <c r="T2" s="114" t="n">
        <v>1</v>
      </c>
      <c r="U2" s="0" t="s">
        <v>431</v>
      </c>
      <c r="V2" s="0" t="s">
        <v>432</v>
      </c>
      <c r="W2" s="0" t="s">
        <v>433</v>
      </c>
      <c r="X2" s="0" t="s">
        <v>434</v>
      </c>
      <c r="Y2" s="0" t="s">
        <v>435</v>
      </c>
      <c r="Z2" s="0" t="s">
        <v>436</v>
      </c>
    </row>
    <row r="3" customFormat="false" ht="14.4" hidden="false" customHeight="false" outlineLevel="0" collapsed="false">
      <c r="A3" s="0" t="n">
        <v>80</v>
      </c>
      <c r="B3" s="0" t="s">
        <v>364</v>
      </c>
      <c r="C3" s="0" t="s">
        <v>437</v>
      </c>
      <c r="D3" s="0" t="s">
        <v>438</v>
      </c>
      <c r="E3" s="0" t="s">
        <v>363</v>
      </c>
      <c r="F3" s="0" t="n">
        <v>4624</v>
      </c>
      <c r="G3" s="0" t="s">
        <v>138</v>
      </c>
      <c r="H3" s="0" t="n">
        <v>168</v>
      </c>
      <c r="I3" s="0" t="n">
        <v>50</v>
      </c>
      <c r="J3" s="0" t="n">
        <v>0</v>
      </c>
      <c r="K3" s="0" t="n">
        <v>43</v>
      </c>
      <c r="L3" s="0" t="n">
        <v>152</v>
      </c>
      <c r="M3" s="0" t="n">
        <v>0</v>
      </c>
      <c r="N3" s="0" t="n">
        <v>10</v>
      </c>
      <c r="O3" s="0" t="n">
        <v>0</v>
      </c>
      <c r="P3" s="0" t="n">
        <v>16</v>
      </c>
      <c r="Q3" s="114" t="n">
        <v>79</v>
      </c>
      <c r="R3" s="114" t="n">
        <v>108</v>
      </c>
      <c r="S3" s="114" t="n">
        <v>1</v>
      </c>
      <c r="T3" s="114" t="n">
        <v>1</v>
      </c>
      <c r="U3" s="0" t="s">
        <v>439</v>
      </c>
      <c r="V3" s="0" t="s">
        <v>433</v>
      </c>
      <c r="W3" s="0" t="s">
        <v>58</v>
      </c>
      <c r="X3" s="0" t="s">
        <v>440</v>
      </c>
      <c r="Y3" s="0" t="s">
        <v>436</v>
      </c>
      <c r="Z3" s="0" t="s">
        <v>58</v>
      </c>
    </row>
    <row r="4" customFormat="false" ht="14.4" hidden="false" customHeight="false" outlineLevel="0" collapsed="false">
      <c r="S4" s="114"/>
      <c r="T4" s="114"/>
    </row>
    <row r="5" customFormat="false" ht="14.4" hidden="false" customHeight="false" outlineLevel="0" collapsed="false">
      <c r="A5" s="146" t="s">
        <v>415</v>
      </c>
      <c r="B5" s="146" t="s">
        <v>97</v>
      </c>
      <c r="C5" s="146" t="s">
        <v>139</v>
      </c>
      <c r="D5" s="146" t="s">
        <v>416</v>
      </c>
      <c r="E5" s="146" t="s">
        <v>96</v>
      </c>
      <c r="F5" s="146" t="s">
        <v>45</v>
      </c>
      <c r="G5" s="146" t="s">
        <v>417</v>
      </c>
      <c r="H5" s="146" t="s">
        <v>100</v>
      </c>
      <c r="I5" s="146" t="s">
        <v>98</v>
      </c>
      <c r="J5" s="146" t="s">
        <v>99</v>
      </c>
      <c r="K5" s="146" t="s">
        <v>46</v>
      </c>
      <c r="L5" s="146" t="s">
        <v>50</v>
      </c>
      <c r="M5" s="146" t="s">
        <v>262</v>
      </c>
      <c r="N5" s="146" t="s">
        <v>418</v>
      </c>
      <c r="O5" s="146" t="s">
        <v>105</v>
      </c>
      <c r="P5" s="146" t="s">
        <v>419</v>
      </c>
      <c r="Q5" s="146" t="s">
        <v>420</v>
      </c>
      <c r="R5" s="146" t="s">
        <v>421</v>
      </c>
      <c r="S5" s="146" t="s">
        <v>151</v>
      </c>
      <c r="T5" s="146" t="s">
        <v>380</v>
      </c>
      <c r="U5" s="146" t="s">
        <v>382</v>
      </c>
      <c r="V5" s="146" t="s">
        <v>422</v>
      </c>
      <c r="W5" s="146" t="s">
        <v>423</v>
      </c>
      <c r="X5" s="146" t="s">
        <v>424</v>
      </c>
      <c r="Y5" s="146" t="s">
        <v>425</v>
      </c>
      <c r="Z5" s="146" t="s">
        <v>426</v>
      </c>
      <c r="AA5" s="146" t="s">
        <v>427</v>
      </c>
      <c r="AB5" s="146" t="s">
        <v>441</v>
      </c>
    </row>
    <row r="6" customFormat="false" ht="14.4" hidden="false" customHeight="false" outlineLevel="0" collapsed="false">
      <c r="A6" s="147" t="n">
        <v>472</v>
      </c>
      <c r="B6" s="147" t="s">
        <v>442</v>
      </c>
      <c r="C6" s="147" t="s">
        <v>429</v>
      </c>
      <c r="D6" s="147" t="s">
        <v>443</v>
      </c>
      <c r="E6" s="147" t="s">
        <v>444</v>
      </c>
      <c r="F6" s="147" t="n">
        <v>4980</v>
      </c>
      <c r="G6" s="147" t="s">
        <v>138</v>
      </c>
      <c r="H6" s="147" t="n">
        <v>204</v>
      </c>
      <c r="I6" s="147" t="n">
        <v>73</v>
      </c>
      <c r="J6" s="147" t="n">
        <v>0</v>
      </c>
      <c r="K6" s="147" t="n">
        <v>51</v>
      </c>
      <c r="L6" s="147" t="n">
        <v>134</v>
      </c>
      <c r="M6" s="147" t="n">
        <v>0</v>
      </c>
      <c r="N6" s="147" t="n">
        <v>10</v>
      </c>
      <c r="O6" s="147" t="n">
        <v>0</v>
      </c>
      <c r="P6" s="147" t="n">
        <v>14</v>
      </c>
      <c r="Q6" s="147" t="n">
        <v>58</v>
      </c>
      <c r="R6" s="147" t="n">
        <v>212</v>
      </c>
      <c r="S6" s="147" t="n">
        <v>110</v>
      </c>
      <c r="T6" s="148" t="n">
        <v>0.8</v>
      </c>
      <c r="U6" s="148" t="n">
        <v>0</v>
      </c>
      <c r="V6" s="147" t="s">
        <v>445</v>
      </c>
      <c r="W6" s="147" t="s">
        <v>446</v>
      </c>
      <c r="X6" s="147" t="s">
        <v>447</v>
      </c>
      <c r="Y6" s="147" t="s">
        <v>448</v>
      </c>
      <c r="Z6" s="147" t="s">
        <v>449</v>
      </c>
      <c r="AA6" s="147" t="s">
        <v>450</v>
      </c>
      <c r="AB6" s="149" t="s">
        <v>451</v>
      </c>
    </row>
    <row r="8" customFormat="false" ht="14.4" hidden="false" customHeight="false" outlineLevel="0" collapsed="false">
      <c r="A8" s="144" t="s">
        <v>415</v>
      </c>
      <c r="B8" s="144" t="s">
        <v>97</v>
      </c>
      <c r="C8" s="144" t="s">
        <v>139</v>
      </c>
      <c r="D8" s="144" t="s">
        <v>416</v>
      </c>
      <c r="E8" s="144" t="s">
        <v>96</v>
      </c>
      <c r="F8" s="144" t="s">
        <v>45</v>
      </c>
      <c r="G8" s="144" t="s">
        <v>417</v>
      </c>
      <c r="H8" s="144" t="s">
        <v>100</v>
      </c>
      <c r="I8" s="144" t="s">
        <v>98</v>
      </c>
      <c r="J8" s="144" t="s">
        <v>99</v>
      </c>
      <c r="K8" s="144" t="s">
        <v>46</v>
      </c>
      <c r="L8" s="144" t="s">
        <v>50</v>
      </c>
      <c r="M8" s="144" t="s">
        <v>262</v>
      </c>
      <c r="N8" s="144" t="s">
        <v>418</v>
      </c>
      <c r="O8" s="144" t="s">
        <v>105</v>
      </c>
      <c r="P8" s="144" t="s">
        <v>419</v>
      </c>
      <c r="Q8" s="145" t="s">
        <v>420</v>
      </c>
      <c r="R8" s="145" t="s">
        <v>421</v>
      </c>
      <c r="S8" s="145" t="s">
        <v>151</v>
      </c>
      <c r="T8" s="145" t="s">
        <v>155</v>
      </c>
      <c r="U8" s="150" t="s">
        <v>380</v>
      </c>
      <c r="V8" s="150" t="s">
        <v>382</v>
      </c>
      <c r="W8" s="150" t="s">
        <v>441</v>
      </c>
      <c r="X8" s="150" t="s">
        <v>452</v>
      </c>
      <c r="Y8" s="150" t="s">
        <v>453</v>
      </c>
      <c r="Z8" s="150" t="s">
        <v>454</v>
      </c>
      <c r="AA8" s="150" t="s">
        <v>422</v>
      </c>
      <c r="AB8" s="150" t="s">
        <v>423</v>
      </c>
      <c r="AC8" s="150" t="s">
        <v>424</v>
      </c>
      <c r="AD8" s="150" t="s">
        <v>455</v>
      </c>
      <c r="AE8" s="150" t="s">
        <v>425</v>
      </c>
      <c r="AF8" s="150" t="s">
        <v>426</v>
      </c>
      <c r="AG8" s="150" t="s">
        <v>427</v>
      </c>
      <c r="AH8" s="150" t="s">
        <v>456</v>
      </c>
    </row>
    <row r="9" customFormat="false" ht="14.4" hidden="false" customHeight="false" outlineLevel="0" collapsed="false">
      <c r="A9" s="0" t="s">
        <v>457</v>
      </c>
      <c r="B9" s="0" t="n">
        <v>22</v>
      </c>
      <c r="C9" s="0" t="s">
        <v>458</v>
      </c>
      <c r="D9" s="0" t="s">
        <v>438</v>
      </c>
      <c r="E9" s="0" t="s">
        <v>459</v>
      </c>
      <c r="F9" s="0" t="n">
        <v>1427</v>
      </c>
      <c r="G9" s="0" t="s">
        <v>138</v>
      </c>
      <c r="H9" s="0" t="n">
        <v>179</v>
      </c>
      <c r="I9" s="0" t="n">
        <v>54</v>
      </c>
      <c r="J9" s="0" t="n">
        <v>204</v>
      </c>
      <c r="K9" s="0" t="n">
        <v>163</v>
      </c>
      <c r="L9" s="0" t="n">
        <v>149</v>
      </c>
      <c r="M9" s="0" t="n">
        <v>0</v>
      </c>
      <c r="N9" s="0" t="n">
        <v>8</v>
      </c>
      <c r="O9" s="0" t="n">
        <v>190</v>
      </c>
      <c r="P9" s="0" t="n">
        <v>43</v>
      </c>
      <c r="Q9" s="114" t="n">
        <v>22</v>
      </c>
      <c r="R9" s="151" t="n">
        <v>182</v>
      </c>
      <c r="S9" s="114" t="n">
        <v>1.35</v>
      </c>
      <c r="T9" s="114" t="n">
        <v>1.15</v>
      </c>
      <c r="U9" s="114" t="n">
        <v>0.95</v>
      </c>
      <c r="V9" s="114" t="n">
        <v>0</v>
      </c>
      <c r="W9" s="0" t="s">
        <v>460</v>
      </c>
      <c r="X9" s="114" t="s">
        <v>58</v>
      </c>
      <c r="Y9" s="114" t="s">
        <v>58</v>
      </c>
      <c r="Z9" s="114" t="s">
        <v>58</v>
      </c>
      <c r="AA9" s="0" t="s">
        <v>461</v>
      </c>
      <c r="AB9" s="0" t="s">
        <v>462</v>
      </c>
      <c r="AC9" s="0" t="s">
        <v>58</v>
      </c>
      <c r="AD9" s="0" t="s">
        <v>58</v>
      </c>
      <c r="AE9" s="0" t="s">
        <v>463</v>
      </c>
      <c r="AF9" s="0" t="s">
        <v>464</v>
      </c>
      <c r="AG9" s="0" t="s">
        <v>58</v>
      </c>
      <c r="AH9" s="0" t="s">
        <v>58</v>
      </c>
    </row>
    <row r="10" customFormat="false" ht="14.4" hidden="false" customHeight="false" outlineLevel="0" collapsed="false">
      <c r="A10" s="0" t="s">
        <v>465</v>
      </c>
      <c r="B10" s="0" t="n">
        <v>33</v>
      </c>
      <c r="C10" s="0" t="s">
        <v>458</v>
      </c>
      <c r="D10" s="0" t="s">
        <v>438</v>
      </c>
      <c r="E10" s="0" t="s">
        <v>459</v>
      </c>
      <c r="F10" s="0" t="n">
        <v>1375</v>
      </c>
      <c r="G10" s="0" t="s">
        <v>138</v>
      </c>
      <c r="H10" s="0" t="n">
        <v>170</v>
      </c>
      <c r="I10" s="0" t="n">
        <v>39</v>
      </c>
      <c r="J10" s="0" t="n">
        <v>251</v>
      </c>
      <c r="K10" s="0" t="n">
        <v>163</v>
      </c>
      <c r="L10" s="0" t="n">
        <v>149</v>
      </c>
      <c r="M10" s="0" t="n">
        <v>0</v>
      </c>
      <c r="N10" s="0" t="n">
        <v>8</v>
      </c>
      <c r="O10" s="0" t="n">
        <v>190</v>
      </c>
      <c r="P10" s="0" t="n">
        <v>43</v>
      </c>
      <c r="Q10" s="114" t="n">
        <v>33</v>
      </c>
      <c r="R10" s="144" t="n">
        <v>173</v>
      </c>
      <c r="S10" s="114" t="n">
        <v>1.15</v>
      </c>
      <c r="T10" s="114" t="n">
        <v>1.3</v>
      </c>
      <c r="U10" s="114" t="n">
        <v>0.95</v>
      </c>
      <c r="V10" s="114" t="n">
        <v>0</v>
      </c>
      <c r="W10" s="0" t="s">
        <v>466</v>
      </c>
      <c r="X10" s="114" t="s">
        <v>58</v>
      </c>
      <c r="Y10" s="114" t="s">
        <v>58</v>
      </c>
      <c r="Z10" s="114" t="s">
        <v>58</v>
      </c>
      <c r="AA10" s="0" t="s">
        <v>467</v>
      </c>
      <c r="AB10" s="0" t="s">
        <v>468</v>
      </c>
      <c r="AC10" s="0" t="s">
        <v>58</v>
      </c>
      <c r="AD10" s="0" t="s">
        <v>58</v>
      </c>
      <c r="AE10" s="0" t="s">
        <v>469</v>
      </c>
      <c r="AF10" s="0" t="s">
        <v>464</v>
      </c>
      <c r="AG10" s="0" t="s">
        <v>58</v>
      </c>
      <c r="AH10" s="0" t="s">
        <v>58</v>
      </c>
    </row>
    <row r="11" customFormat="false" ht="14.4" hidden="false" customHeight="false" outlineLevel="0" collapsed="false">
      <c r="A11" s="0" t="n">
        <v>82</v>
      </c>
      <c r="B11" s="0" t="s">
        <v>470</v>
      </c>
      <c r="C11" s="0" t="s">
        <v>471</v>
      </c>
      <c r="D11" s="0" t="s">
        <v>472</v>
      </c>
      <c r="E11" s="0" t="s">
        <v>459</v>
      </c>
      <c r="F11" s="0" t="n">
        <v>1370</v>
      </c>
      <c r="G11" s="0" t="s">
        <v>138</v>
      </c>
      <c r="H11" s="0" t="n">
        <v>193</v>
      </c>
      <c r="I11" s="0" t="n">
        <v>68</v>
      </c>
      <c r="J11" s="0" t="n">
        <v>360</v>
      </c>
      <c r="K11" s="0" t="n">
        <v>209</v>
      </c>
      <c r="L11" s="0" t="n">
        <v>154</v>
      </c>
      <c r="M11" s="0" t="n">
        <v>0</v>
      </c>
      <c r="N11" s="0" t="n">
        <v>8</v>
      </c>
      <c r="O11" s="0" t="n">
        <v>173</v>
      </c>
      <c r="P11" s="0" t="n">
        <v>42</v>
      </c>
      <c r="Q11" s="114" t="n">
        <v>43</v>
      </c>
      <c r="R11" s="144" t="n">
        <v>172</v>
      </c>
      <c r="S11" s="114" t="n">
        <v>1.15</v>
      </c>
      <c r="T11" s="114" t="n">
        <v>1.45</v>
      </c>
      <c r="U11" s="114" t="n">
        <v>1.05</v>
      </c>
      <c r="V11" s="114" t="n">
        <v>0</v>
      </c>
      <c r="W11" s="0" t="s">
        <v>473</v>
      </c>
      <c r="X11" s="114" t="s">
        <v>58</v>
      </c>
      <c r="Y11" s="114" t="s">
        <v>58</v>
      </c>
      <c r="Z11" s="114" t="s">
        <v>58</v>
      </c>
      <c r="AA11" s="0" t="s">
        <v>474</v>
      </c>
      <c r="AB11" s="0" t="s">
        <v>475</v>
      </c>
      <c r="AC11" s="0" t="s">
        <v>476</v>
      </c>
      <c r="AD11" s="0" t="s">
        <v>58</v>
      </c>
      <c r="AE11" s="0" t="s">
        <v>477</v>
      </c>
      <c r="AF11" s="0" t="s">
        <v>478</v>
      </c>
      <c r="AG11" s="0" t="s">
        <v>464</v>
      </c>
      <c r="AH11" s="0" t="s">
        <v>58</v>
      </c>
    </row>
    <row r="12" customFormat="false" ht="14.4" hidden="false" customHeight="false" outlineLevel="0" collapsed="false">
      <c r="A12" s="0" t="n">
        <v>3082</v>
      </c>
      <c r="B12" s="0" t="s">
        <v>479</v>
      </c>
      <c r="C12" s="0" t="s">
        <v>471</v>
      </c>
      <c r="D12" s="0" t="s">
        <v>438</v>
      </c>
      <c r="E12" s="0" t="s">
        <v>459</v>
      </c>
      <c r="F12" s="0" t="n">
        <v>1535</v>
      </c>
      <c r="G12" s="0" t="s">
        <v>138</v>
      </c>
      <c r="H12" s="0" t="n">
        <v>193</v>
      </c>
      <c r="I12" s="0" t="n">
        <v>68</v>
      </c>
      <c r="J12" s="0" t="n">
        <v>400</v>
      </c>
      <c r="K12" s="0" t="n">
        <v>244</v>
      </c>
      <c r="L12" s="0" t="n">
        <v>169</v>
      </c>
      <c r="M12" s="0" t="n">
        <v>0</v>
      </c>
      <c r="N12" s="0" t="n">
        <v>8</v>
      </c>
      <c r="O12" s="0" t="n">
        <v>173</v>
      </c>
      <c r="P12" s="0" t="n">
        <v>45</v>
      </c>
      <c r="Q12" s="114" t="n">
        <v>43</v>
      </c>
      <c r="R12" s="144" t="n">
        <v>172</v>
      </c>
      <c r="S12" s="114" t="n">
        <v>1.15</v>
      </c>
      <c r="T12" s="114" t="n">
        <v>1.5</v>
      </c>
      <c r="U12" s="114" t="n">
        <v>1.1</v>
      </c>
      <c r="V12" s="114" t="n">
        <v>0</v>
      </c>
      <c r="W12" s="0" t="s">
        <v>473</v>
      </c>
      <c r="X12" s="114" t="s">
        <v>58</v>
      </c>
      <c r="Y12" s="114" t="s">
        <v>58</v>
      </c>
      <c r="Z12" s="114" t="s">
        <v>58</v>
      </c>
      <c r="AA12" s="0" t="s">
        <v>474</v>
      </c>
      <c r="AB12" s="0" t="s">
        <v>475</v>
      </c>
      <c r="AC12" s="0" t="s">
        <v>476</v>
      </c>
      <c r="AD12" s="0" t="s">
        <v>480</v>
      </c>
      <c r="AE12" s="0" t="s">
        <v>477</v>
      </c>
      <c r="AF12" s="0" t="s">
        <v>478</v>
      </c>
      <c r="AG12" s="0" t="s">
        <v>464</v>
      </c>
      <c r="AH12" s="0" t="s">
        <v>481</v>
      </c>
    </row>
    <row r="13" customFormat="false" ht="14.4" hidden="false" customHeight="false" outlineLevel="0" collapsed="false">
      <c r="A13" s="0" t="n">
        <v>159</v>
      </c>
      <c r="B13" s="0" t="s">
        <v>482</v>
      </c>
      <c r="C13" s="0" t="s">
        <v>429</v>
      </c>
      <c r="D13" s="0" t="s">
        <v>472</v>
      </c>
      <c r="E13" s="0" t="s">
        <v>459</v>
      </c>
      <c r="F13" s="0" t="n">
        <v>1747</v>
      </c>
      <c r="G13" s="0" t="s">
        <v>138</v>
      </c>
      <c r="H13" s="0" t="n">
        <v>210</v>
      </c>
      <c r="I13" s="0" t="n">
        <v>60</v>
      </c>
      <c r="J13" s="0" t="n">
        <v>493</v>
      </c>
      <c r="K13" s="0" t="n">
        <v>194</v>
      </c>
      <c r="L13" s="0" t="n">
        <v>150</v>
      </c>
      <c r="M13" s="0" t="n">
        <v>0</v>
      </c>
      <c r="N13" s="0" t="n">
        <v>8</v>
      </c>
      <c r="O13" s="0" t="n">
        <v>190</v>
      </c>
      <c r="P13" s="0" t="n">
        <v>45</v>
      </c>
      <c r="Q13" s="114" t="n">
        <v>45</v>
      </c>
      <c r="R13" s="144" t="n">
        <v>178</v>
      </c>
      <c r="S13" s="114" t="n">
        <v>0.75</v>
      </c>
      <c r="T13" s="114" t="n">
        <v>1.5</v>
      </c>
      <c r="U13" s="114" t="n">
        <v>0.75</v>
      </c>
      <c r="V13" s="114" t="n">
        <v>0</v>
      </c>
      <c r="W13" s="0" t="s">
        <v>483</v>
      </c>
      <c r="X13" s="114" t="s">
        <v>58</v>
      </c>
      <c r="Y13" s="114" t="s">
        <v>58</v>
      </c>
      <c r="Z13" s="114" t="s">
        <v>58</v>
      </c>
      <c r="AA13" s="0" t="s">
        <v>484</v>
      </c>
      <c r="AB13" s="0" t="s">
        <v>485</v>
      </c>
      <c r="AC13" s="0" t="s">
        <v>58</v>
      </c>
      <c r="AD13" s="0" t="s">
        <v>58</v>
      </c>
      <c r="AE13" s="0" t="s">
        <v>486</v>
      </c>
      <c r="AF13" s="0" t="s">
        <v>464</v>
      </c>
      <c r="AG13" s="0" t="s">
        <v>58</v>
      </c>
      <c r="AH13" s="0" t="s">
        <v>58</v>
      </c>
    </row>
    <row r="14" customFormat="false" ht="14.4" hidden="false" customHeight="false" outlineLevel="0" collapsed="false">
      <c r="A14" s="0" t="n">
        <v>406</v>
      </c>
      <c r="B14" s="0" t="s">
        <v>487</v>
      </c>
      <c r="C14" s="0" t="s">
        <v>437</v>
      </c>
      <c r="D14" s="0" t="s">
        <v>472</v>
      </c>
      <c r="E14" s="0" t="s">
        <v>74</v>
      </c>
      <c r="F14" s="0" t="n">
        <v>1679</v>
      </c>
      <c r="G14" s="0" t="s">
        <v>138</v>
      </c>
      <c r="H14" s="0" t="n">
        <v>173</v>
      </c>
      <c r="I14" s="0" t="n">
        <v>81</v>
      </c>
      <c r="J14" s="0" t="n">
        <v>279</v>
      </c>
      <c r="K14" s="0" t="n">
        <v>162</v>
      </c>
      <c r="L14" s="0" t="n">
        <v>182</v>
      </c>
      <c r="M14" s="0" t="n">
        <v>0</v>
      </c>
      <c r="N14" s="0" t="n">
        <v>8</v>
      </c>
      <c r="O14" s="0" t="n">
        <v>197</v>
      </c>
      <c r="P14" s="0" t="n">
        <v>44</v>
      </c>
      <c r="Q14" s="0" t="n">
        <v>83</v>
      </c>
      <c r="R14" s="116" t="n">
        <v>173</v>
      </c>
      <c r="S14" s="114" t="n">
        <v>1.2</v>
      </c>
      <c r="T14" s="114" t="n">
        <v>1.3</v>
      </c>
      <c r="U14" s="114" t="n">
        <v>1.3</v>
      </c>
      <c r="V14" s="114" t="n">
        <v>0</v>
      </c>
      <c r="W14" s="114" t="s">
        <v>58</v>
      </c>
      <c r="X14" s="114" t="s">
        <v>58</v>
      </c>
      <c r="Y14" s="114" t="s">
        <v>58</v>
      </c>
      <c r="Z14" s="114" t="s">
        <v>58</v>
      </c>
      <c r="AA14" s="0" t="s">
        <v>488</v>
      </c>
      <c r="AB14" s="0" t="s">
        <v>489</v>
      </c>
      <c r="AC14" s="0" t="s">
        <v>58</v>
      </c>
      <c r="AD14" s="0" t="s">
        <v>58</v>
      </c>
      <c r="AE14" s="0" t="s">
        <v>490</v>
      </c>
      <c r="AF14" s="0" t="s">
        <v>464</v>
      </c>
      <c r="AG14" s="0" t="s">
        <v>58</v>
      </c>
      <c r="AH14" s="0" t="s">
        <v>58</v>
      </c>
    </row>
    <row r="15" customFormat="false" ht="14.4" hidden="false" customHeight="false" outlineLevel="0" collapsed="false">
      <c r="A15" s="0" t="n">
        <v>81</v>
      </c>
      <c r="B15" s="0" t="s">
        <v>491</v>
      </c>
      <c r="C15" s="0" t="s">
        <v>471</v>
      </c>
      <c r="D15" s="0" t="s">
        <v>472</v>
      </c>
      <c r="E15" s="0" t="s">
        <v>459</v>
      </c>
      <c r="F15" s="0" t="n">
        <v>1370</v>
      </c>
      <c r="G15" s="0" t="s">
        <v>138</v>
      </c>
      <c r="H15" s="0" t="n">
        <v>192</v>
      </c>
      <c r="I15" s="0" t="n">
        <v>65</v>
      </c>
      <c r="J15" s="0" t="n">
        <v>360</v>
      </c>
      <c r="K15" s="0" t="n">
        <v>211</v>
      </c>
      <c r="L15" s="0" t="n">
        <v>154</v>
      </c>
      <c r="M15" s="0" t="n">
        <v>0</v>
      </c>
      <c r="N15" s="0" t="n">
        <v>8</v>
      </c>
      <c r="O15" s="0" t="n">
        <v>176</v>
      </c>
      <c r="P15" s="0" t="n">
        <v>44</v>
      </c>
      <c r="Q15" s="114" t="n">
        <v>72</v>
      </c>
      <c r="R15" s="151" t="n">
        <v>186</v>
      </c>
      <c r="S15" s="114" t="n">
        <v>1.2</v>
      </c>
      <c r="T15" s="114" t="n">
        <v>1.35</v>
      </c>
      <c r="U15" s="114" t="n">
        <v>1.05</v>
      </c>
      <c r="V15" s="114" t="n">
        <v>0</v>
      </c>
      <c r="W15" s="0" t="s">
        <v>473</v>
      </c>
      <c r="X15" s="114" t="s">
        <v>58</v>
      </c>
      <c r="Y15" s="114" t="s">
        <v>58</v>
      </c>
      <c r="Z15" s="114" t="s">
        <v>58</v>
      </c>
      <c r="AA15" s="0" t="s">
        <v>492</v>
      </c>
      <c r="AB15" s="0" t="s">
        <v>493</v>
      </c>
      <c r="AC15" s="0" t="s">
        <v>58</v>
      </c>
      <c r="AD15" s="0" t="s">
        <v>58</v>
      </c>
      <c r="AE15" s="0" t="s">
        <v>494</v>
      </c>
      <c r="AF15" s="0" t="s">
        <v>464</v>
      </c>
      <c r="AG15" s="0" t="s">
        <v>58</v>
      </c>
      <c r="AH15" s="0" t="s">
        <v>58</v>
      </c>
    </row>
    <row r="16" customFormat="false" ht="14.4" hidden="false" customHeight="false" outlineLevel="0" collapsed="false">
      <c r="A16" s="0" t="n">
        <v>3081</v>
      </c>
      <c r="B16" s="0" t="s">
        <v>495</v>
      </c>
      <c r="C16" s="0" t="s">
        <v>471</v>
      </c>
      <c r="D16" s="0" t="s">
        <v>438</v>
      </c>
      <c r="E16" s="0" t="s">
        <v>74</v>
      </c>
      <c r="F16" s="0" t="n">
        <v>1535</v>
      </c>
      <c r="G16" s="0" t="s">
        <v>138</v>
      </c>
      <c r="H16" s="0" t="n">
        <v>192</v>
      </c>
      <c r="I16" s="0" t="n">
        <v>65</v>
      </c>
      <c r="J16" s="0" t="n">
        <v>360</v>
      </c>
      <c r="K16" s="0" t="n">
        <v>231</v>
      </c>
      <c r="L16" s="0" t="n">
        <v>194</v>
      </c>
      <c r="M16" s="0" t="n">
        <v>0</v>
      </c>
      <c r="N16" s="0" t="n">
        <v>8</v>
      </c>
      <c r="O16" s="0" t="n">
        <v>176</v>
      </c>
      <c r="P16" s="0" t="n">
        <v>47</v>
      </c>
      <c r="Q16" s="0" t="n">
        <v>72</v>
      </c>
      <c r="R16" s="116" t="n">
        <v>186</v>
      </c>
      <c r="S16" s="114" t="n">
        <v>1.2</v>
      </c>
      <c r="T16" s="114" t="n">
        <v>1.35</v>
      </c>
      <c r="U16" s="114" t="n">
        <v>1.15</v>
      </c>
      <c r="V16" s="114" t="n">
        <v>0</v>
      </c>
      <c r="W16" s="114" t="s">
        <v>473</v>
      </c>
      <c r="X16" s="114" t="s">
        <v>58</v>
      </c>
      <c r="Y16" s="114" t="s">
        <v>58</v>
      </c>
      <c r="Z16" s="114" t="s">
        <v>58</v>
      </c>
      <c r="AA16" s="0" t="s">
        <v>492</v>
      </c>
      <c r="AB16" s="0" t="s">
        <v>493</v>
      </c>
      <c r="AC16" s="0" t="s">
        <v>58</v>
      </c>
      <c r="AD16" s="0" t="s">
        <v>58</v>
      </c>
      <c r="AE16" s="0" t="s">
        <v>494</v>
      </c>
      <c r="AF16" s="0" t="s">
        <v>464</v>
      </c>
      <c r="AG16" s="0" t="s">
        <v>58</v>
      </c>
      <c r="AH16" s="0" t="s">
        <v>58</v>
      </c>
    </row>
    <row r="17" customFormat="false" ht="14.4" hidden="false" customHeight="false" outlineLevel="0" collapsed="false">
      <c r="A17" s="0" t="n">
        <v>253</v>
      </c>
      <c r="B17" s="0" t="s">
        <v>496</v>
      </c>
      <c r="C17" s="0" t="s">
        <v>497</v>
      </c>
      <c r="D17" s="0" t="s">
        <v>438</v>
      </c>
      <c r="E17" s="0" t="s">
        <v>74</v>
      </c>
      <c r="F17" s="0" t="n">
        <v>2277</v>
      </c>
      <c r="G17" s="0" t="s">
        <v>138</v>
      </c>
      <c r="H17" s="0" t="n">
        <v>201</v>
      </c>
      <c r="I17" s="0" t="n">
        <v>131</v>
      </c>
      <c r="J17" s="0" t="n">
        <v>228</v>
      </c>
      <c r="K17" s="0" t="n">
        <v>165</v>
      </c>
      <c r="L17" s="0" t="n">
        <v>172</v>
      </c>
      <c r="M17" s="0" t="n">
        <v>0</v>
      </c>
      <c r="N17" s="0" t="n">
        <v>8</v>
      </c>
      <c r="O17" s="0" t="n">
        <v>200</v>
      </c>
      <c r="P17" s="0" t="n">
        <v>45</v>
      </c>
      <c r="Q17" s="114" t="n">
        <v>81</v>
      </c>
      <c r="R17" s="144" t="n">
        <v>188</v>
      </c>
      <c r="S17" s="114" t="n">
        <v>1.55</v>
      </c>
      <c r="T17" s="114" t="n">
        <v>1</v>
      </c>
      <c r="U17" s="114" t="n">
        <v>1.05</v>
      </c>
      <c r="V17" s="114" t="n">
        <v>0</v>
      </c>
      <c r="W17" s="0" t="s">
        <v>498</v>
      </c>
      <c r="X17" s="0" t="s">
        <v>499</v>
      </c>
      <c r="Y17" s="114" t="s">
        <v>58</v>
      </c>
      <c r="Z17" s="114" t="s">
        <v>58</v>
      </c>
      <c r="AA17" s="0" t="s">
        <v>500</v>
      </c>
      <c r="AB17" s="0" t="s">
        <v>501</v>
      </c>
      <c r="AC17" s="0" t="s">
        <v>58</v>
      </c>
      <c r="AD17" s="0" t="s">
        <v>58</v>
      </c>
      <c r="AE17" s="0" t="s">
        <v>502</v>
      </c>
      <c r="AF17" s="0" t="s">
        <v>464</v>
      </c>
      <c r="AG17" s="0" t="s">
        <v>58</v>
      </c>
      <c r="AH17" s="0" t="s">
        <v>58</v>
      </c>
    </row>
    <row r="18" customFormat="false" ht="14.4" hidden="false" customHeight="false" outlineLevel="0" collapsed="false">
      <c r="A18" s="0" t="n">
        <v>334</v>
      </c>
      <c r="B18" s="0" t="s">
        <v>503</v>
      </c>
      <c r="C18" s="0" t="s">
        <v>429</v>
      </c>
      <c r="D18" s="0" t="s">
        <v>472</v>
      </c>
      <c r="E18" s="0" t="s">
        <v>459</v>
      </c>
      <c r="F18" s="0" t="n">
        <v>1937</v>
      </c>
      <c r="G18" s="0" t="s">
        <v>138</v>
      </c>
      <c r="H18" s="0" t="n">
        <v>196</v>
      </c>
      <c r="I18" s="0" t="n">
        <v>62</v>
      </c>
      <c r="J18" s="0" t="n">
        <v>509</v>
      </c>
      <c r="K18" s="0" t="n">
        <v>191</v>
      </c>
      <c r="L18" s="0" t="n">
        <v>149</v>
      </c>
      <c r="M18" s="0" t="n">
        <v>0</v>
      </c>
      <c r="N18" s="0" t="n">
        <v>8</v>
      </c>
      <c r="O18" s="0" t="n">
        <v>187</v>
      </c>
      <c r="P18" s="0" t="n">
        <v>42</v>
      </c>
      <c r="Q18" s="114" t="n">
        <v>32</v>
      </c>
      <c r="R18" s="144" t="n">
        <v>183</v>
      </c>
      <c r="S18" s="114" t="n">
        <v>0.75</v>
      </c>
      <c r="T18" s="114" t="n">
        <v>1.5</v>
      </c>
      <c r="U18" s="114" t="n">
        <v>0.75</v>
      </c>
      <c r="V18" s="114" t="n">
        <v>0</v>
      </c>
      <c r="W18" s="0" t="s">
        <v>504</v>
      </c>
      <c r="X18" s="114" t="s">
        <v>58</v>
      </c>
      <c r="Y18" s="114" t="s">
        <v>58</v>
      </c>
      <c r="Z18" s="114" t="s">
        <v>58</v>
      </c>
      <c r="AA18" s="0" t="s">
        <v>505</v>
      </c>
      <c r="AB18" s="0" t="s">
        <v>506</v>
      </c>
      <c r="AC18" s="0" t="s">
        <v>58</v>
      </c>
      <c r="AD18" s="0" t="s">
        <v>58</v>
      </c>
      <c r="AE18" s="0" t="s">
        <v>507</v>
      </c>
      <c r="AF18" s="0" t="s">
        <v>464</v>
      </c>
      <c r="AG18" s="0" t="s">
        <v>58</v>
      </c>
      <c r="AH18" s="0" t="s">
        <v>58</v>
      </c>
    </row>
    <row r="19" customFormat="false" ht="14.4" hidden="false" customHeight="false" outlineLevel="0" collapsed="false">
      <c r="A19" s="0" t="n">
        <v>83</v>
      </c>
      <c r="B19" s="0" t="s">
        <v>508</v>
      </c>
      <c r="C19" s="0" t="s">
        <v>471</v>
      </c>
      <c r="D19" s="0" t="s">
        <v>472</v>
      </c>
      <c r="E19" s="0" t="s">
        <v>459</v>
      </c>
      <c r="F19" s="0" t="n">
        <v>1370</v>
      </c>
      <c r="G19" s="0" t="s">
        <v>138</v>
      </c>
      <c r="H19" s="0" t="n">
        <v>193</v>
      </c>
      <c r="I19" s="0" t="n">
        <v>68</v>
      </c>
      <c r="J19" s="0" t="n">
        <v>360</v>
      </c>
      <c r="K19" s="0" t="n">
        <v>209</v>
      </c>
      <c r="L19" s="0" t="n">
        <v>154</v>
      </c>
      <c r="M19" s="0" t="n">
        <v>0</v>
      </c>
      <c r="N19" s="0" t="n">
        <v>8</v>
      </c>
      <c r="O19" s="0" t="n">
        <v>173</v>
      </c>
      <c r="P19" s="0" t="n">
        <v>42</v>
      </c>
      <c r="Q19" s="114" t="n">
        <v>35</v>
      </c>
      <c r="R19" s="144" t="n">
        <v>172</v>
      </c>
      <c r="S19" s="114" t="n">
        <v>1.2</v>
      </c>
      <c r="T19" s="114" t="n">
        <v>1.4</v>
      </c>
      <c r="U19" s="114" t="n">
        <v>1.05</v>
      </c>
      <c r="V19" s="114" t="n">
        <v>0</v>
      </c>
      <c r="W19" s="0" t="s">
        <v>473</v>
      </c>
      <c r="X19" s="114" t="s">
        <v>58</v>
      </c>
      <c r="Y19" s="114" t="s">
        <v>58</v>
      </c>
      <c r="Z19" s="114" t="s">
        <v>58</v>
      </c>
      <c r="AA19" s="0" t="s">
        <v>509</v>
      </c>
      <c r="AB19" s="0" t="s">
        <v>510</v>
      </c>
      <c r="AC19" s="0" t="s">
        <v>511</v>
      </c>
      <c r="AD19" s="0" t="s">
        <v>58</v>
      </c>
      <c r="AE19" s="0" t="s">
        <v>490</v>
      </c>
      <c r="AF19" s="0" t="s">
        <v>512</v>
      </c>
      <c r="AG19" s="0" t="s">
        <v>464</v>
      </c>
      <c r="AH19" s="0" t="s">
        <v>58</v>
      </c>
    </row>
    <row r="20" customFormat="false" ht="14.4" hidden="false" customHeight="false" outlineLevel="0" collapsed="false">
      <c r="A20" s="0" t="n">
        <v>3083</v>
      </c>
      <c r="B20" s="0" t="s">
        <v>513</v>
      </c>
      <c r="C20" s="0" t="s">
        <v>471</v>
      </c>
      <c r="D20" s="0" t="s">
        <v>438</v>
      </c>
      <c r="E20" s="0" t="s">
        <v>459</v>
      </c>
      <c r="F20" s="0" t="n">
        <v>1535</v>
      </c>
      <c r="G20" s="0" t="s">
        <v>138</v>
      </c>
      <c r="H20" s="0" t="n">
        <v>193</v>
      </c>
      <c r="I20" s="0" t="n">
        <v>68</v>
      </c>
      <c r="J20" s="0" t="n">
        <v>400</v>
      </c>
      <c r="K20" s="0" t="n">
        <v>244</v>
      </c>
      <c r="L20" s="0" t="n">
        <v>169</v>
      </c>
      <c r="M20" s="0" t="n">
        <v>0</v>
      </c>
      <c r="N20" s="0" t="n">
        <v>8</v>
      </c>
      <c r="O20" s="0" t="n">
        <v>173</v>
      </c>
      <c r="P20" s="0" t="n">
        <v>45</v>
      </c>
      <c r="Q20" s="114" t="n">
        <v>35</v>
      </c>
      <c r="R20" s="144" t="n">
        <v>172</v>
      </c>
      <c r="S20" s="114" t="n">
        <v>1.2</v>
      </c>
      <c r="T20" s="114" t="n">
        <v>1.45</v>
      </c>
      <c r="U20" s="114" t="n">
        <v>1.1</v>
      </c>
      <c r="V20" s="114" t="n">
        <v>0</v>
      </c>
      <c r="W20" s="0" t="s">
        <v>473</v>
      </c>
      <c r="X20" s="114" t="s">
        <v>58</v>
      </c>
      <c r="Y20" s="114" t="s">
        <v>58</v>
      </c>
      <c r="Z20" s="114" t="s">
        <v>58</v>
      </c>
      <c r="AA20" s="0" t="s">
        <v>509</v>
      </c>
      <c r="AB20" s="0" t="s">
        <v>510</v>
      </c>
      <c r="AC20" s="0" t="s">
        <v>514</v>
      </c>
      <c r="AD20" s="0" t="s">
        <v>511</v>
      </c>
      <c r="AE20" s="0" t="s">
        <v>490</v>
      </c>
      <c r="AF20" s="0" t="s">
        <v>512</v>
      </c>
      <c r="AG20" s="0" t="s">
        <v>515</v>
      </c>
      <c r="AH20" s="0" t="s">
        <v>58</v>
      </c>
    </row>
    <row r="21" customFormat="false" ht="14.4" hidden="false" customHeight="false" outlineLevel="0" collapsed="false">
      <c r="A21" s="0" t="n">
        <v>175</v>
      </c>
      <c r="B21" s="0" t="s">
        <v>516</v>
      </c>
      <c r="C21" s="0" t="s">
        <v>429</v>
      </c>
      <c r="D21" s="0" t="s">
        <v>472</v>
      </c>
      <c r="E21" s="0" t="s">
        <v>459</v>
      </c>
      <c r="F21" s="0" t="n">
        <v>1773</v>
      </c>
      <c r="G21" s="0" t="s">
        <v>138</v>
      </c>
      <c r="H21" s="0" t="n">
        <v>196</v>
      </c>
      <c r="I21" s="0" t="n">
        <v>59</v>
      </c>
      <c r="J21" s="0" t="n">
        <v>478</v>
      </c>
      <c r="K21" s="0" t="n">
        <v>192</v>
      </c>
      <c r="L21" s="0" t="n">
        <v>145</v>
      </c>
      <c r="M21" s="0" t="n">
        <v>0</v>
      </c>
      <c r="N21" s="0" t="n">
        <v>8</v>
      </c>
      <c r="O21" s="0" t="n">
        <v>189</v>
      </c>
      <c r="P21" s="0" t="n">
        <v>43</v>
      </c>
      <c r="Q21" s="114" t="n">
        <v>34</v>
      </c>
      <c r="R21" s="144" t="n">
        <v>180</v>
      </c>
      <c r="S21" s="114" t="n">
        <v>0.75</v>
      </c>
      <c r="T21" s="114" t="n">
        <v>1.5</v>
      </c>
      <c r="U21" s="114" t="n">
        <v>0.75</v>
      </c>
      <c r="V21" s="114" t="n">
        <v>0</v>
      </c>
      <c r="W21" s="152" t="s">
        <v>517</v>
      </c>
      <c r="X21" s="114" t="s">
        <v>58</v>
      </c>
      <c r="Y21" s="114" t="s">
        <v>58</v>
      </c>
      <c r="Z21" s="114" t="s">
        <v>58</v>
      </c>
      <c r="AA21" s="0" t="s">
        <v>518</v>
      </c>
      <c r="AB21" s="0" t="s">
        <v>519</v>
      </c>
      <c r="AC21" s="0" t="s">
        <v>58</v>
      </c>
      <c r="AD21" s="0" t="s">
        <v>58</v>
      </c>
      <c r="AE21" s="0" t="s">
        <v>520</v>
      </c>
      <c r="AF21" s="0" t="s">
        <v>464</v>
      </c>
      <c r="AG21" s="0" t="s">
        <v>58</v>
      </c>
      <c r="AH21" s="0" t="s">
        <v>58</v>
      </c>
    </row>
    <row r="22" customFormat="false" ht="14.4" hidden="false" customHeight="false" outlineLevel="0" collapsed="false">
      <c r="A22" s="0" t="n">
        <v>331</v>
      </c>
      <c r="B22" s="0" t="s">
        <v>521</v>
      </c>
      <c r="C22" s="0" t="s">
        <v>429</v>
      </c>
      <c r="D22" s="0" t="s">
        <v>472</v>
      </c>
      <c r="E22" s="0" t="s">
        <v>459</v>
      </c>
      <c r="F22" s="0" t="n">
        <v>1937</v>
      </c>
      <c r="G22" s="0" t="s">
        <v>138</v>
      </c>
      <c r="H22" s="0" t="n">
        <v>196</v>
      </c>
      <c r="I22" s="0" t="n">
        <v>62</v>
      </c>
      <c r="J22" s="0" t="n">
        <v>508</v>
      </c>
      <c r="K22" s="0" t="n">
        <v>191</v>
      </c>
      <c r="L22" s="0" t="n">
        <v>149</v>
      </c>
      <c r="M22" s="0" t="n">
        <v>0</v>
      </c>
      <c r="N22" s="0" t="n">
        <v>8</v>
      </c>
      <c r="O22" s="0" t="n">
        <v>189</v>
      </c>
      <c r="P22" s="0" t="n">
        <v>42</v>
      </c>
      <c r="Q22" s="114" t="n">
        <v>32</v>
      </c>
      <c r="R22" s="144" t="n">
        <v>182</v>
      </c>
      <c r="S22" s="114" t="n">
        <v>0.75</v>
      </c>
      <c r="T22" s="114" t="n">
        <v>1.5</v>
      </c>
      <c r="U22" s="114" t="n">
        <v>0.75</v>
      </c>
      <c r="V22" s="114" t="n">
        <v>0</v>
      </c>
      <c r="W22" s="0" t="s">
        <v>504</v>
      </c>
      <c r="X22" s="114" t="s">
        <v>58</v>
      </c>
      <c r="Y22" s="114" t="s">
        <v>58</v>
      </c>
      <c r="Z22" s="114" t="s">
        <v>58</v>
      </c>
      <c r="AA22" s="0" t="s">
        <v>522</v>
      </c>
      <c r="AB22" s="0" t="s">
        <v>523</v>
      </c>
      <c r="AC22" s="0" t="s">
        <v>58</v>
      </c>
      <c r="AD22" s="0" t="s">
        <v>58</v>
      </c>
      <c r="AE22" s="0" t="s">
        <v>524</v>
      </c>
      <c r="AF22" s="0" t="s">
        <v>525</v>
      </c>
      <c r="AG22" s="0" t="s">
        <v>464</v>
      </c>
      <c r="AH22" s="0" t="s">
        <v>58</v>
      </c>
    </row>
    <row r="23" customFormat="false" ht="14.4" hidden="false" customHeight="false" outlineLevel="0" collapsed="false">
      <c r="A23" s="0" t="n">
        <v>15</v>
      </c>
      <c r="B23" s="0" t="s">
        <v>526</v>
      </c>
      <c r="C23" s="0" t="s">
        <v>437</v>
      </c>
      <c r="D23" s="0" t="s">
        <v>527</v>
      </c>
      <c r="E23" s="0" t="s">
        <v>459</v>
      </c>
      <c r="F23" s="0" t="n">
        <v>1998</v>
      </c>
      <c r="G23" s="0" t="s">
        <v>138</v>
      </c>
      <c r="H23" s="0" t="n">
        <v>204</v>
      </c>
      <c r="I23" s="0" t="n">
        <v>82</v>
      </c>
      <c r="J23" s="0" t="n">
        <v>279</v>
      </c>
      <c r="K23" s="0" t="n">
        <v>158</v>
      </c>
      <c r="L23" s="0" t="n">
        <v>171</v>
      </c>
      <c r="M23" s="0" t="n">
        <v>0</v>
      </c>
      <c r="N23" s="0" t="n">
        <v>7</v>
      </c>
      <c r="O23" s="0" t="n">
        <v>202</v>
      </c>
      <c r="P23" s="0" t="n">
        <v>42</v>
      </c>
      <c r="Q23" s="114" t="n">
        <v>62</v>
      </c>
      <c r="R23" s="144" t="n">
        <v>197</v>
      </c>
      <c r="S23" s="114" t="n">
        <v>1.2</v>
      </c>
      <c r="T23" s="114" t="n">
        <v>1.3</v>
      </c>
      <c r="U23" s="114" t="n">
        <v>1.3</v>
      </c>
      <c r="V23" s="114" t="n">
        <v>0</v>
      </c>
      <c r="W23" s="152" t="s">
        <v>528</v>
      </c>
      <c r="X23" s="114" t="s">
        <v>58</v>
      </c>
      <c r="Y23" s="114" t="s">
        <v>58</v>
      </c>
      <c r="Z23" s="114" t="s">
        <v>58</v>
      </c>
      <c r="AA23" s="0" t="s">
        <v>529</v>
      </c>
      <c r="AB23" s="0" t="s">
        <v>530</v>
      </c>
      <c r="AC23" s="0" t="s">
        <v>58</v>
      </c>
      <c r="AD23" s="0" t="s">
        <v>58</v>
      </c>
      <c r="AE23" s="0" t="s">
        <v>531</v>
      </c>
      <c r="AF23" s="0" t="s">
        <v>464</v>
      </c>
      <c r="AG23" s="0" t="s">
        <v>58</v>
      </c>
      <c r="AH23" s="0" t="s">
        <v>58</v>
      </c>
    </row>
    <row r="24" customFormat="false" ht="14.4" hidden="false" customHeight="false" outlineLevel="0" collapsed="false">
      <c r="A24" s="0" t="n">
        <v>155</v>
      </c>
      <c r="B24" s="0" t="s">
        <v>532</v>
      </c>
      <c r="C24" s="0" t="s">
        <v>429</v>
      </c>
      <c r="D24" s="0" t="s">
        <v>438</v>
      </c>
      <c r="E24" s="0" t="s">
        <v>459</v>
      </c>
      <c r="F24" s="0" t="n">
        <v>1798</v>
      </c>
      <c r="G24" s="0" t="s">
        <v>138</v>
      </c>
      <c r="H24" s="0" t="n">
        <v>213</v>
      </c>
      <c r="I24" s="0" t="n">
        <v>65</v>
      </c>
      <c r="J24" s="0" t="n">
        <v>509</v>
      </c>
      <c r="K24" s="0" t="n">
        <v>194</v>
      </c>
      <c r="L24" s="0" t="n">
        <v>146</v>
      </c>
      <c r="M24" s="0" t="n">
        <v>0</v>
      </c>
      <c r="N24" s="0" t="n">
        <v>9</v>
      </c>
      <c r="O24" s="0" t="n">
        <v>203</v>
      </c>
      <c r="P24" s="0" t="n">
        <v>45</v>
      </c>
      <c r="Q24" s="114" t="n">
        <v>36</v>
      </c>
      <c r="R24" s="144" t="n">
        <v>183</v>
      </c>
      <c r="S24" s="114" t="n">
        <v>0.8</v>
      </c>
      <c r="T24" s="114" t="n">
        <v>1.6</v>
      </c>
      <c r="U24" s="114" t="n">
        <v>0.75</v>
      </c>
      <c r="V24" s="114" t="n">
        <v>0</v>
      </c>
      <c r="W24" s="0" t="s">
        <v>533</v>
      </c>
      <c r="X24" s="0" t="s">
        <v>58</v>
      </c>
      <c r="Y24" s="114" t="s">
        <v>58</v>
      </c>
      <c r="Z24" s="114" t="s">
        <v>58</v>
      </c>
      <c r="AA24" s="0" t="s">
        <v>534</v>
      </c>
      <c r="AB24" s="0" t="s">
        <v>535</v>
      </c>
      <c r="AC24" s="0" t="s">
        <v>58</v>
      </c>
      <c r="AD24" s="0" t="s">
        <v>58</v>
      </c>
      <c r="AE24" s="0" t="s">
        <v>536</v>
      </c>
      <c r="AF24" s="0" t="s">
        <v>464</v>
      </c>
      <c r="AG24" s="0" t="s">
        <v>58</v>
      </c>
      <c r="AH24" s="0" t="s">
        <v>58</v>
      </c>
    </row>
    <row r="25" customFormat="false" ht="14.4" hidden="false" customHeight="false" outlineLevel="0" collapsed="false">
      <c r="A25" s="0" t="n">
        <v>3155</v>
      </c>
      <c r="B25" s="0" t="s">
        <v>537</v>
      </c>
      <c r="C25" s="0" t="s">
        <v>429</v>
      </c>
      <c r="D25" s="0" t="s">
        <v>430</v>
      </c>
      <c r="E25" s="0" t="s">
        <v>459</v>
      </c>
      <c r="F25" s="0" t="n">
        <v>1963</v>
      </c>
      <c r="G25" s="0" t="s">
        <v>138</v>
      </c>
      <c r="H25" s="0" t="n">
        <v>228</v>
      </c>
      <c r="I25" s="0" t="n">
        <v>75</v>
      </c>
      <c r="J25" s="0" t="n">
        <v>569</v>
      </c>
      <c r="K25" s="0" t="n">
        <v>214</v>
      </c>
      <c r="L25" s="0" t="n">
        <v>146</v>
      </c>
      <c r="M25" s="0" t="n">
        <v>0</v>
      </c>
      <c r="N25" s="0" t="n">
        <v>9</v>
      </c>
      <c r="O25" s="0" t="n">
        <v>203</v>
      </c>
      <c r="P25" s="0" t="n">
        <v>48</v>
      </c>
      <c r="Q25" s="114" t="n">
        <v>36</v>
      </c>
      <c r="R25" s="144" t="n">
        <v>183</v>
      </c>
      <c r="S25" s="114" t="n">
        <v>0.85</v>
      </c>
      <c r="T25" s="114" t="n">
        <v>1.65</v>
      </c>
      <c r="U25" s="114" t="n">
        <v>0.75</v>
      </c>
      <c r="V25" s="114" t="n">
        <v>0</v>
      </c>
      <c r="W25" s="0" t="s">
        <v>533</v>
      </c>
      <c r="X25" s="0" t="s">
        <v>538</v>
      </c>
      <c r="Y25" s="0" t="s">
        <v>539</v>
      </c>
      <c r="Z25" s="114"/>
      <c r="AA25" s="0" t="s">
        <v>534</v>
      </c>
      <c r="AB25" s="0" t="s">
        <v>540</v>
      </c>
      <c r="AC25" s="0" t="s">
        <v>535</v>
      </c>
      <c r="AD25" s="0" t="s">
        <v>58</v>
      </c>
      <c r="AE25" s="0" t="s">
        <v>536</v>
      </c>
      <c r="AF25" s="0" t="s">
        <v>541</v>
      </c>
      <c r="AG25" s="0" t="s">
        <v>464</v>
      </c>
      <c r="AH25" s="0" t="s">
        <v>58</v>
      </c>
    </row>
    <row r="26" customFormat="false" ht="14.4" hidden="false" customHeight="false" outlineLevel="0" collapsed="false">
      <c r="A26" s="0" t="n">
        <v>407</v>
      </c>
      <c r="B26" s="0" t="s">
        <v>542</v>
      </c>
      <c r="C26" s="0" t="s">
        <v>437</v>
      </c>
      <c r="D26" s="0" t="s">
        <v>472</v>
      </c>
      <c r="E26" s="0" t="s">
        <v>74</v>
      </c>
      <c r="F26" s="0" t="n">
        <v>2095</v>
      </c>
      <c r="G26" s="0" t="s">
        <v>138</v>
      </c>
      <c r="H26" s="0" t="n">
        <v>196</v>
      </c>
      <c r="I26" s="0" t="n">
        <v>76</v>
      </c>
      <c r="J26" s="0" t="n">
        <v>283</v>
      </c>
      <c r="K26" s="0" t="n">
        <v>161</v>
      </c>
      <c r="L26" s="0" t="n">
        <v>194</v>
      </c>
      <c r="M26" s="0" t="n">
        <v>0</v>
      </c>
      <c r="N26" s="0" t="n">
        <v>8</v>
      </c>
      <c r="O26" s="0" t="n">
        <v>187</v>
      </c>
      <c r="P26" s="0" t="n">
        <v>43</v>
      </c>
      <c r="Q26" s="0" t="n">
        <v>78</v>
      </c>
      <c r="R26" s="116" t="n">
        <v>186</v>
      </c>
      <c r="S26" s="114" t="n">
        <v>1.2</v>
      </c>
      <c r="T26" s="114" t="n">
        <v>1.3</v>
      </c>
      <c r="U26" s="114" t="n">
        <v>1.3</v>
      </c>
      <c r="V26" s="114" t="n">
        <v>0</v>
      </c>
      <c r="W26" s="114" t="s">
        <v>528</v>
      </c>
      <c r="X26" s="114" t="s">
        <v>58</v>
      </c>
      <c r="Y26" s="114" t="s">
        <v>58</v>
      </c>
      <c r="Z26" s="114" t="s">
        <v>58</v>
      </c>
      <c r="AA26" s="0" t="s">
        <v>543</v>
      </c>
      <c r="AB26" s="0" t="s">
        <v>544</v>
      </c>
      <c r="AC26" s="0" t="s">
        <v>58</v>
      </c>
      <c r="AD26" s="0" t="s">
        <v>58</v>
      </c>
      <c r="AE26" s="0" t="s">
        <v>545</v>
      </c>
      <c r="AF26" s="0" t="s">
        <v>464</v>
      </c>
      <c r="AG26" s="0" t="s">
        <v>58</v>
      </c>
      <c r="AH26" s="0" t="s">
        <v>58</v>
      </c>
    </row>
    <row r="27" customFormat="false" ht="14.4" hidden="false" customHeight="false" outlineLevel="0" collapsed="false">
      <c r="A27" s="0" t="n">
        <v>263</v>
      </c>
      <c r="B27" s="0" t="s">
        <v>546</v>
      </c>
      <c r="C27" s="0" t="s">
        <v>437</v>
      </c>
      <c r="D27" s="0" t="s">
        <v>472</v>
      </c>
      <c r="E27" s="0" t="s">
        <v>459</v>
      </c>
      <c r="F27" s="0" t="n">
        <v>1826</v>
      </c>
      <c r="G27" s="0" t="s">
        <v>138</v>
      </c>
      <c r="H27" s="0" t="n">
        <v>204</v>
      </c>
      <c r="I27" s="0" t="n">
        <v>87</v>
      </c>
      <c r="J27" s="0" t="n">
        <v>320</v>
      </c>
      <c r="K27" s="0" t="n">
        <v>162</v>
      </c>
      <c r="L27" s="0" t="n">
        <v>172</v>
      </c>
      <c r="M27" s="0" t="n">
        <v>0</v>
      </c>
      <c r="N27" s="0" t="n">
        <v>8</v>
      </c>
      <c r="O27" s="0" t="n">
        <v>192</v>
      </c>
      <c r="P27" s="0" t="n">
        <v>44</v>
      </c>
      <c r="Q27" s="114" t="n">
        <v>70</v>
      </c>
      <c r="R27" s="144" t="n">
        <v>184</v>
      </c>
      <c r="S27" s="114" t="n">
        <v>1.3</v>
      </c>
      <c r="T27" s="114" t="n">
        <v>1.3</v>
      </c>
      <c r="U27" s="114" t="n">
        <v>1.25</v>
      </c>
      <c r="V27" s="114" t="n">
        <v>0</v>
      </c>
      <c r="W27" s="0" t="s">
        <v>547</v>
      </c>
      <c r="X27" s="114" t="s">
        <v>58</v>
      </c>
      <c r="Y27" s="114" t="s">
        <v>58</v>
      </c>
      <c r="Z27" s="114" t="s">
        <v>58</v>
      </c>
      <c r="AA27" s="0" t="s">
        <v>548</v>
      </c>
      <c r="AB27" s="0" t="s">
        <v>549</v>
      </c>
      <c r="AC27" s="0" t="s">
        <v>58</v>
      </c>
      <c r="AD27" s="0" t="s">
        <v>58</v>
      </c>
      <c r="AE27" s="0" t="s">
        <v>478</v>
      </c>
      <c r="AF27" s="0" t="s">
        <v>464</v>
      </c>
      <c r="AG27" s="0" t="s">
        <v>58</v>
      </c>
      <c r="AH27" s="0" t="s">
        <v>58</v>
      </c>
    </row>
    <row r="28" customFormat="false" ht="14.4" hidden="false" customHeight="false" outlineLevel="0" collapsed="false">
      <c r="A28" s="0" t="n">
        <v>3263</v>
      </c>
      <c r="B28" s="0" t="s">
        <v>550</v>
      </c>
      <c r="C28" s="0" t="s">
        <v>437</v>
      </c>
      <c r="D28" s="0" t="s">
        <v>438</v>
      </c>
      <c r="E28" s="0" t="s">
        <v>459</v>
      </c>
      <c r="F28" s="0" t="n">
        <v>2036</v>
      </c>
      <c r="G28" s="0" t="s">
        <v>138</v>
      </c>
      <c r="H28" s="0" t="n">
        <v>224</v>
      </c>
      <c r="I28" s="0" t="n">
        <v>102</v>
      </c>
      <c r="J28" s="0" t="n">
        <v>320</v>
      </c>
      <c r="K28" s="0" t="n">
        <v>162</v>
      </c>
      <c r="L28" s="0" t="n">
        <v>262</v>
      </c>
      <c r="M28" s="0" t="n">
        <v>0</v>
      </c>
      <c r="N28" s="0" t="n">
        <v>8</v>
      </c>
      <c r="O28" s="0" t="n">
        <v>192</v>
      </c>
      <c r="P28" s="0" t="n">
        <v>47</v>
      </c>
      <c r="Q28" s="114" t="n">
        <v>70</v>
      </c>
      <c r="R28" s="144" t="n">
        <v>184</v>
      </c>
      <c r="S28" s="114" t="n">
        <v>1.35</v>
      </c>
      <c r="T28" s="114" t="n">
        <v>1.35</v>
      </c>
      <c r="U28" s="114" t="n">
        <v>1.25</v>
      </c>
      <c r="V28" s="114" t="n">
        <v>0</v>
      </c>
      <c r="W28" s="0" t="s">
        <v>547</v>
      </c>
      <c r="X28" s="114" t="s">
        <v>58</v>
      </c>
      <c r="Y28" s="114" t="s">
        <v>58</v>
      </c>
      <c r="Z28" s="114" t="s">
        <v>58</v>
      </c>
      <c r="AA28" s="0" t="s">
        <v>548</v>
      </c>
      <c r="AB28" s="0" t="s">
        <v>551</v>
      </c>
      <c r="AC28" s="0" t="s">
        <v>549</v>
      </c>
      <c r="AD28" s="0" t="s">
        <v>58</v>
      </c>
      <c r="AE28" s="0" t="s">
        <v>478</v>
      </c>
      <c r="AF28" s="0" t="s">
        <v>552</v>
      </c>
      <c r="AG28" s="0" t="s">
        <v>464</v>
      </c>
      <c r="AH28" s="0" t="s">
        <v>58</v>
      </c>
    </row>
    <row r="29" customFormat="false" ht="14.4" hidden="false" customHeight="false" outlineLevel="0" collapsed="false">
      <c r="A29" s="0" t="n">
        <v>86</v>
      </c>
      <c r="B29" s="0" t="s">
        <v>553</v>
      </c>
      <c r="C29" s="0" t="s">
        <v>471</v>
      </c>
      <c r="D29" s="0" t="s">
        <v>527</v>
      </c>
      <c r="E29" s="0" t="s">
        <v>459</v>
      </c>
      <c r="F29" s="0" t="n">
        <v>1349</v>
      </c>
      <c r="G29" s="0" t="s">
        <v>138</v>
      </c>
      <c r="H29" s="0" t="n">
        <v>190</v>
      </c>
      <c r="I29" s="0" t="n">
        <v>65</v>
      </c>
      <c r="J29" s="0" t="n">
        <v>354</v>
      </c>
      <c r="K29" s="0" t="n">
        <v>209</v>
      </c>
      <c r="L29" s="0" t="n">
        <v>150</v>
      </c>
      <c r="M29" s="0" t="n">
        <v>0</v>
      </c>
      <c r="N29" s="0" t="n">
        <v>7</v>
      </c>
      <c r="O29" s="0" t="n">
        <v>192</v>
      </c>
      <c r="P29" s="0" t="n">
        <v>42</v>
      </c>
      <c r="Q29" s="114" t="n">
        <v>71</v>
      </c>
      <c r="R29" s="144" t="n">
        <v>175</v>
      </c>
      <c r="S29" s="114" t="n">
        <v>1.2</v>
      </c>
      <c r="T29" s="114" t="n">
        <v>1.35</v>
      </c>
      <c r="U29" s="114" t="n">
        <v>1.05</v>
      </c>
      <c r="V29" s="114" t="n">
        <v>0</v>
      </c>
      <c r="W29" s="0" t="s">
        <v>554</v>
      </c>
      <c r="X29" s="114" t="s">
        <v>58</v>
      </c>
      <c r="Y29" s="114" t="s">
        <v>58</v>
      </c>
      <c r="Z29" s="114" t="s">
        <v>58</v>
      </c>
      <c r="AA29" s="0" t="s">
        <v>555</v>
      </c>
      <c r="AB29" s="0" t="s">
        <v>556</v>
      </c>
      <c r="AC29" s="0" t="s">
        <v>58</v>
      </c>
      <c r="AD29" s="0" t="s">
        <v>58</v>
      </c>
      <c r="AE29" s="0" t="s">
        <v>557</v>
      </c>
      <c r="AF29" s="0" t="s">
        <v>464</v>
      </c>
      <c r="AG29" s="0" t="s">
        <v>58</v>
      </c>
      <c r="AH29" s="0" t="s">
        <v>58</v>
      </c>
    </row>
    <row r="30" customFormat="false" ht="14.4" hidden="false" customHeight="false" outlineLevel="0" collapsed="false">
      <c r="A30" s="0" t="n">
        <v>18</v>
      </c>
      <c r="B30" s="0" t="s">
        <v>558</v>
      </c>
      <c r="C30" s="0" t="s">
        <v>437</v>
      </c>
      <c r="D30" s="0" t="s">
        <v>472</v>
      </c>
      <c r="E30" s="0" t="s">
        <v>459</v>
      </c>
      <c r="F30" s="0" t="n">
        <v>1826</v>
      </c>
      <c r="G30" s="0" t="s">
        <v>138</v>
      </c>
      <c r="H30" s="0" t="n">
        <v>204</v>
      </c>
      <c r="I30" s="0" t="n">
        <v>87</v>
      </c>
      <c r="J30" s="0" t="n">
        <v>320</v>
      </c>
      <c r="K30" s="0" t="n">
        <v>163</v>
      </c>
      <c r="L30" s="0" t="n">
        <v>172</v>
      </c>
      <c r="M30" s="0" t="n">
        <v>0</v>
      </c>
      <c r="N30" s="0" t="n">
        <v>8</v>
      </c>
      <c r="O30" s="0" t="n">
        <v>193</v>
      </c>
      <c r="P30" s="0" t="n">
        <v>45</v>
      </c>
      <c r="Q30" s="114" t="n">
        <v>72</v>
      </c>
      <c r="R30" s="144" t="n">
        <v>184</v>
      </c>
      <c r="S30" s="114" t="n">
        <v>1.3</v>
      </c>
      <c r="T30" s="114" t="n">
        <v>1.3</v>
      </c>
      <c r="U30" s="114" t="n">
        <v>1.25</v>
      </c>
      <c r="V30" s="114" t="n">
        <v>0</v>
      </c>
      <c r="W30" s="0" t="s">
        <v>547</v>
      </c>
      <c r="X30" s="114" t="s">
        <v>58</v>
      </c>
      <c r="Y30" s="114" t="s">
        <v>58</v>
      </c>
      <c r="Z30" s="114" t="s">
        <v>58</v>
      </c>
      <c r="AA30" s="0" t="s">
        <v>514</v>
      </c>
      <c r="AB30" s="0" t="s">
        <v>559</v>
      </c>
      <c r="AC30" s="0" t="s">
        <v>58</v>
      </c>
      <c r="AD30" s="0" t="s">
        <v>58</v>
      </c>
      <c r="AE30" s="0" t="s">
        <v>515</v>
      </c>
      <c r="AF30" s="0" t="s">
        <v>464</v>
      </c>
      <c r="AG30" s="0" t="s">
        <v>58</v>
      </c>
      <c r="AH30" s="0" t="s">
        <v>58</v>
      </c>
    </row>
    <row r="31" customFormat="false" ht="14.4" hidden="false" customHeight="false" outlineLevel="0" collapsed="false">
      <c r="A31" s="0" t="s">
        <v>560</v>
      </c>
      <c r="B31" s="0" t="s">
        <v>561</v>
      </c>
      <c r="C31" s="0" t="s">
        <v>562</v>
      </c>
      <c r="D31" s="0" t="s">
        <v>438</v>
      </c>
      <c r="E31" s="0" t="s">
        <v>459</v>
      </c>
      <c r="F31" s="0" t="n">
        <v>1800</v>
      </c>
      <c r="G31" s="0" t="s">
        <v>138</v>
      </c>
      <c r="H31" s="0" t="n">
        <v>207</v>
      </c>
      <c r="I31" s="0" t="n">
        <v>70</v>
      </c>
      <c r="J31" s="0" t="n">
        <v>439</v>
      </c>
      <c r="K31" s="0" t="n">
        <v>175</v>
      </c>
      <c r="L31" s="0" t="n">
        <v>149</v>
      </c>
      <c r="M31" s="0" t="n">
        <v>0</v>
      </c>
      <c r="N31" s="0" t="n">
        <v>9</v>
      </c>
      <c r="O31" s="0" t="n">
        <v>199</v>
      </c>
      <c r="P31" s="0" t="n">
        <v>45</v>
      </c>
      <c r="Q31" s="114" t="n">
        <v>71</v>
      </c>
      <c r="R31" s="144" t="n">
        <v>189</v>
      </c>
      <c r="S31" s="114" t="n">
        <v>0.75</v>
      </c>
      <c r="T31" s="114" t="n">
        <v>1.5</v>
      </c>
      <c r="U31" s="114" t="n">
        <v>0.75</v>
      </c>
      <c r="V31" s="114" t="n">
        <v>0</v>
      </c>
      <c r="W31" s="114" t="s">
        <v>58</v>
      </c>
      <c r="X31" s="114" t="s">
        <v>58</v>
      </c>
      <c r="Y31" s="114" t="s">
        <v>58</v>
      </c>
      <c r="Z31" s="114" t="s">
        <v>58</v>
      </c>
      <c r="AA31" s="0" t="s">
        <v>563</v>
      </c>
      <c r="AB31" s="0" t="s">
        <v>58</v>
      </c>
      <c r="AC31" s="0" t="s">
        <v>58</v>
      </c>
      <c r="AD31" s="0" t="s">
        <v>58</v>
      </c>
      <c r="AE31" s="0" t="s">
        <v>564</v>
      </c>
      <c r="AF31" s="0" t="s">
        <v>58</v>
      </c>
      <c r="AG31" s="0" t="s">
        <v>58</v>
      </c>
      <c r="AH31" s="0" t="s">
        <v>58</v>
      </c>
    </row>
    <row r="32" customFormat="false" ht="14.4" hidden="false" customHeight="false" outlineLevel="0" collapsed="false">
      <c r="A32" s="0" t="n">
        <v>87</v>
      </c>
      <c r="B32" s="0" t="s">
        <v>565</v>
      </c>
      <c r="C32" s="0" t="s">
        <v>471</v>
      </c>
      <c r="D32" s="0" t="s">
        <v>527</v>
      </c>
      <c r="E32" s="0" t="s">
        <v>459</v>
      </c>
      <c r="F32" s="0" t="n">
        <v>1349</v>
      </c>
      <c r="G32" s="0" t="s">
        <v>138</v>
      </c>
      <c r="H32" s="0" t="n">
        <v>190</v>
      </c>
      <c r="I32" s="0" t="n">
        <v>65</v>
      </c>
      <c r="J32" s="0" t="n">
        <v>354</v>
      </c>
      <c r="K32" s="0" t="n">
        <v>209</v>
      </c>
      <c r="L32" s="0" t="n">
        <v>150</v>
      </c>
      <c r="M32" s="0" t="n">
        <v>0</v>
      </c>
      <c r="N32" s="0" t="n">
        <v>7</v>
      </c>
      <c r="O32" s="0" t="n">
        <v>197</v>
      </c>
      <c r="P32" s="0" t="n">
        <v>42</v>
      </c>
      <c r="Q32" s="114" t="n">
        <v>65</v>
      </c>
      <c r="R32" s="144" t="n">
        <v>175</v>
      </c>
      <c r="S32" s="114" t="n">
        <v>1.2</v>
      </c>
      <c r="T32" s="114" t="n">
        <v>1.35</v>
      </c>
      <c r="U32" s="114" t="n">
        <v>1.05</v>
      </c>
      <c r="V32" s="114" t="n">
        <v>0</v>
      </c>
      <c r="W32" s="0" t="s">
        <v>554</v>
      </c>
      <c r="X32" s="114" t="s">
        <v>58</v>
      </c>
      <c r="Y32" s="114" t="s">
        <v>58</v>
      </c>
      <c r="Z32" s="114" t="s">
        <v>58</v>
      </c>
      <c r="AA32" s="0" t="s">
        <v>555</v>
      </c>
      <c r="AB32" s="0" t="s">
        <v>556</v>
      </c>
      <c r="AC32" s="0" t="s">
        <v>58</v>
      </c>
      <c r="AD32" s="0" t="s">
        <v>58</v>
      </c>
      <c r="AE32" s="0" t="s">
        <v>557</v>
      </c>
      <c r="AF32" s="0" t="s">
        <v>464</v>
      </c>
      <c r="AG32" s="0" t="s">
        <v>58</v>
      </c>
      <c r="AH32" s="0" t="s">
        <v>58</v>
      </c>
    </row>
    <row r="33" customFormat="false" ht="14.4" hidden="false" customHeight="false" outlineLevel="0" collapsed="false">
      <c r="A33" s="0" t="n">
        <v>355</v>
      </c>
      <c r="B33" s="0" t="s">
        <v>566</v>
      </c>
      <c r="C33" s="0" t="s">
        <v>437</v>
      </c>
      <c r="D33" s="0" t="s">
        <v>472</v>
      </c>
      <c r="E33" s="0" t="s">
        <v>459</v>
      </c>
      <c r="F33" s="0" t="n">
        <v>2054</v>
      </c>
      <c r="G33" s="0" t="s">
        <v>138</v>
      </c>
      <c r="H33" s="0" t="n">
        <v>201</v>
      </c>
      <c r="I33" s="0" t="n">
        <v>85</v>
      </c>
      <c r="J33" s="0" t="n">
        <v>282</v>
      </c>
      <c r="K33" s="0" t="n">
        <v>160</v>
      </c>
      <c r="L33" s="0" t="n">
        <v>189</v>
      </c>
      <c r="M33" s="0" t="n">
        <v>0</v>
      </c>
      <c r="N33" s="0" t="n">
        <v>8</v>
      </c>
      <c r="O33" s="0" t="n">
        <v>206</v>
      </c>
      <c r="P33" s="0" t="n">
        <v>42</v>
      </c>
      <c r="Q33" s="114" t="n">
        <v>34</v>
      </c>
      <c r="R33" s="144" t="n">
        <v>199</v>
      </c>
      <c r="S33" s="114" t="n">
        <v>1.2</v>
      </c>
      <c r="T33" s="114" t="n">
        <v>1.3</v>
      </c>
      <c r="U33" s="114" t="n">
        <v>1.35</v>
      </c>
      <c r="V33" s="114" t="n">
        <v>0</v>
      </c>
      <c r="W33" s="114" t="s">
        <v>528</v>
      </c>
      <c r="X33" s="114" t="s">
        <v>58</v>
      </c>
      <c r="Y33" s="114" t="s">
        <v>58</v>
      </c>
      <c r="Z33" s="114" t="s">
        <v>58</v>
      </c>
      <c r="AA33" s="0" t="s">
        <v>567</v>
      </c>
      <c r="AB33" s="0" t="s">
        <v>568</v>
      </c>
      <c r="AC33" s="0" t="s">
        <v>58</v>
      </c>
      <c r="AD33" s="0" t="s">
        <v>58</v>
      </c>
      <c r="AE33" s="0" t="s">
        <v>569</v>
      </c>
      <c r="AF33" s="0" t="s">
        <v>464</v>
      </c>
      <c r="AG33" s="0" t="s">
        <v>58</v>
      </c>
      <c r="AH33" s="0" t="s">
        <v>58</v>
      </c>
    </row>
    <row r="34" customFormat="false" ht="14.4" hidden="false" customHeight="false" outlineLevel="0" collapsed="false">
      <c r="A34" s="0" t="n">
        <v>415</v>
      </c>
      <c r="B34" s="0" t="s">
        <v>570</v>
      </c>
      <c r="C34" s="0" t="s">
        <v>571</v>
      </c>
      <c r="D34" s="0" t="s">
        <v>438</v>
      </c>
      <c r="E34" s="0" t="s">
        <v>74</v>
      </c>
      <c r="F34" s="0" t="n">
        <v>1788</v>
      </c>
      <c r="G34" s="0" t="s">
        <v>138</v>
      </c>
      <c r="H34" s="0" t="n">
        <v>201</v>
      </c>
      <c r="I34" s="0" t="n">
        <v>126</v>
      </c>
      <c r="J34" s="0" t="n">
        <v>267</v>
      </c>
      <c r="K34" s="0" t="n">
        <v>214</v>
      </c>
      <c r="L34" s="0" t="n">
        <v>160</v>
      </c>
      <c r="M34" s="0" t="n">
        <v>0</v>
      </c>
      <c r="N34" s="0" t="n">
        <v>9</v>
      </c>
      <c r="O34" s="0" t="n">
        <v>204</v>
      </c>
      <c r="P34" s="0" t="n">
        <v>45</v>
      </c>
      <c r="Q34" s="0" t="n">
        <v>65</v>
      </c>
      <c r="R34" s="116" t="n">
        <v>189</v>
      </c>
      <c r="S34" s="114" t="n">
        <v>1.6</v>
      </c>
      <c r="T34" s="114" t="n">
        <v>1.2</v>
      </c>
      <c r="U34" s="114" t="n">
        <v>0.75</v>
      </c>
      <c r="V34" s="114" t="n">
        <v>0</v>
      </c>
      <c r="W34" s="114" t="s">
        <v>572</v>
      </c>
      <c r="X34" s="114" t="s">
        <v>58</v>
      </c>
      <c r="Y34" s="114" t="s">
        <v>58</v>
      </c>
      <c r="Z34" s="114" t="s">
        <v>58</v>
      </c>
      <c r="AA34" s="0" t="s">
        <v>573</v>
      </c>
      <c r="AB34" s="0" t="s">
        <v>574</v>
      </c>
      <c r="AC34" s="0" t="s">
        <v>575</v>
      </c>
      <c r="AD34" s="0" t="s">
        <v>58</v>
      </c>
      <c r="AE34" s="0" t="s">
        <v>576</v>
      </c>
      <c r="AF34" s="0" t="s">
        <v>577</v>
      </c>
      <c r="AG34" s="0" t="s">
        <v>464</v>
      </c>
      <c r="AH34" s="0" t="s">
        <v>58</v>
      </c>
    </row>
    <row r="35" customFormat="false" ht="14.4" hidden="false" customHeight="false" outlineLevel="0" collapsed="false">
      <c r="A35" s="0" t="n">
        <v>5</v>
      </c>
      <c r="B35" s="0" t="s">
        <v>578</v>
      </c>
      <c r="C35" s="0" t="s">
        <v>437</v>
      </c>
      <c r="D35" s="0" t="s">
        <v>527</v>
      </c>
      <c r="E35" s="0" t="s">
        <v>459</v>
      </c>
      <c r="F35" s="0" t="n">
        <v>1735</v>
      </c>
      <c r="G35" s="0" t="s">
        <v>138</v>
      </c>
      <c r="H35" s="0" t="n">
        <v>190</v>
      </c>
      <c r="I35" s="0" t="n">
        <v>76</v>
      </c>
      <c r="J35" s="0" t="n">
        <v>283</v>
      </c>
      <c r="K35" s="0" t="n">
        <v>162</v>
      </c>
      <c r="L35" s="0" t="n">
        <v>168</v>
      </c>
      <c r="M35" s="0" t="n">
        <v>0</v>
      </c>
      <c r="N35" s="0" t="n">
        <v>7</v>
      </c>
      <c r="O35" s="0" t="n">
        <v>181</v>
      </c>
      <c r="P35" s="0" t="n">
        <v>44</v>
      </c>
      <c r="Q35" s="114" t="n">
        <v>66</v>
      </c>
      <c r="R35" s="144" t="n">
        <v>182</v>
      </c>
      <c r="S35" s="114" t="n">
        <v>1.2</v>
      </c>
      <c r="T35" s="114" t="n">
        <v>1.3</v>
      </c>
      <c r="U35" s="114" t="n">
        <v>1.3</v>
      </c>
      <c r="V35" s="114" t="n">
        <v>0</v>
      </c>
      <c r="W35" s="0" t="s">
        <v>579</v>
      </c>
      <c r="X35" s="114" t="s">
        <v>58</v>
      </c>
      <c r="Y35" s="114" t="s">
        <v>58</v>
      </c>
      <c r="Z35" s="114" t="s">
        <v>58</v>
      </c>
      <c r="AA35" s="0" t="s">
        <v>580</v>
      </c>
      <c r="AB35" s="0" t="s">
        <v>581</v>
      </c>
      <c r="AC35" s="0" t="s">
        <v>58</v>
      </c>
      <c r="AD35" s="0" t="s">
        <v>58</v>
      </c>
      <c r="AE35" s="0" t="s">
        <v>582</v>
      </c>
      <c r="AF35" s="0" t="s">
        <v>464</v>
      </c>
      <c r="AG35" s="0" t="s">
        <v>58</v>
      </c>
      <c r="AH35" s="0" t="s">
        <v>58</v>
      </c>
    </row>
    <row r="36" customFormat="false" ht="14.4" hidden="false" customHeight="false" outlineLevel="0" collapsed="false">
      <c r="A36" s="0" t="n">
        <v>3005</v>
      </c>
      <c r="B36" s="0" t="s">
        <v>583</v>
      </c>
      <c r="C36" s="0" t="s">
        <v>437</v>
      </c>
      <c r="D36" s="0" t="s">
        <v>472</v>
      </c>
      <c r="E36" s="0" t="s">
        <v>459</v>
      </c>
      <c r="F36" s="0" t="n">
        <v>1900</v>
      </c>
      <c r="G36" s="0" t="s">
        <v>138</v>
      </c>
      <c r="H36" s="0" t="n">
        <v>210</v>
      </c>
      <c r="I36" s="0" t="n">
        <v>101</v>
      </c>
      <c r="J36" s="0" t="n">
        <v>293</v>
      </c>
      <c r="K36" s="0" t="n">
        <v>187</v>
      </c>
      <c r="L36" s="0" t="n">
        <v>168</v>
      </c>
      <c r="M36" s="0" t="n">
        <v>0</v>
      </c>
      <c r="N36" s="0" t="n">
        <v>7</v>
      </c>
      <c r="O36" s="0" t="n">
        <v>181</v>
      </c>
      <c r="P36" s="0" t="n">
        <v>47</v>
      </c>
      <c r="Q36" s="114" t="n">
        <v>66</v>
      </c>
      <c r="R36" s="144" t="n">
        <v>182</v>
      </c>
      <c r="S36" s="114" t="n">
        <v>1.25</v>
      </c>
      <c r="T36" s="114" t="n">
        <v>1.35</v>
      </c>
      <c r="U36" s="114" t="n">
        <v>1.3</v>
      </c>
      <c r="V36" s="114" t="n">
        <v>0</v>
      </c>
      <c r="W36" s="0" t="s">
        <v>579</v>
      </c>
      <c r="X36" s="114" t="s">
        <v>58</v>
      </c>
      <c r="Y36" s="114" t="s">
        <v>58</v>
      </c>
      <c r="Z36" s="114" t="s">
        <v>58</v>
      </c>
      <c r="AA36" s="0" t="s">
        <v>580</v>
      </c>
      <c r="AB36" s="0" t="s">
        <v>529</v>
      </c>
      <c r="AC36" s="0" t="s">
        <v>581</v>
      </c>
      <c r="AD36" s="0" t="s">
        <v>58</v>
      </c>
      <c r="AE36" s="0" t="s">
        <v>582</v>
      </c>
      <c r="AF36" s="0" t="s">
        <v>531</v>
      </c>
      <c r="AG36" s="0" t="s">
        <v>464</v>
      </c>
      <c r="AH36" s="0" t="s">
        <v>58</v>
      </c>
    </row>
    <row r="37" customFormat="false" ht="14.4" hidden="false" customHeight="false" outlineLevel="0" collapsed="false">
      <c r="A37" s="0" t="n">
        <v>255</v>
      </c>
      <c r="B37" s="0" t="s">
        <v>584</v>
      </c>
      <c r="C37" s="0" t="s">
        <v>497</v>
      </c>
      <c r="D37" s="0" t="s">
        <v>438</v>
      </c>
      <c r="E37" s="0" t="s">
        <v>459</v>
      </c>
      <c r="F37" s="0" t="n">
        <v>2277</v>
      </c>
      <c r="G37" s="0" t="s">
        <v>138</v>
      </c>
      <c r="H37" s="0" t="n">
        <v>199</v>
      </c>
      <c r="I37" s="0" t="n">
        <v>131</v>
      </c>
      <c r="J37" s="0" t="n">
        <v>228</v>
      </c>
      <c r="K37" s="0" t="n">
        <v>165</v>
      </c>
      <c r="L37" s="0" t="n">
        <v>172</v>
      </c>
      <c r="M37" s="0" t="n">
        <v>0</v>
      </c>
      <c r="N37" s="0" t="n">
        <v>9</v>
      </c>
      <c r="O37" s="0" t="n">
        <v>200</v>
      </c>
      <c r="P37" s="0" t="n">
        <v>45</v>
      </c>
      <c r="Q37" s="114" t="n">
        <v>61</v>
      </c>
      <c r="R37" s="144" t="n">
        <v>184</v>
      </c>
      <c r="S37" s="114" t="n">
        <v>1.55</v>
      </c>
      <c r="T37" s="114" t="n">
        <v>1</v>
      </c>
      <c r="U37" s="114" t="n">
        <v>1.05</v>
      </c>
      <c r="V37" s="114" t="n">
        <v>0</v>
      </c>
      <c r="W37" s="0" t="s">
        <v>498</v>
      </c>
      <c r="X37" s="0" t="s">
        <v>499</v>
      </c>
      <c r="Y37" s="114" t="s">
        <v>58</v>
      </c>
      <c r="Z37" s="114" t="s">
        <v>58</v>
      </c>
      <c r="AA37" s="0" t="s">
        <v>585</v>
      </c>
      <c r="AB37" s="0" t="s">
        <v>586</v>
      </c>
      <c r="AC37" s="0" t="s">
        <v>58</v>
      </c>
      <c r="AD37" s="0" t="s">
        <v>58</v>
      </c>
      <c r="AE37" s="0" t="s">
        <v>587</v>
      </c>
      <c r="AF37" s="0" t="s">
        <v>464</v>
      </c>
      <c r="AG37" s="0" t="s">
        <v>58</v>
      </c>
      <c r="AH37" s="0" t="s">
        <v>58</v>
      </c>
    </row>
    <row r="38" customFormat="false" ht="14.4" hidden="false" customHeight="false" outlineLevel="0" collapsed="false">
      <c r="A38" s="0" t="n">
        <v>13</v>
      </c>
      <c r="B38" s="0" t="s">
        <v>588</v>
      </c>
      <c r="C38" s="0" t="s">
        <v>437</v>
      </c>
      <c r="D38" s="0" t="s">
        <v>438</v>
      </c>
      <c r="E38" s="0" t="s">
        <v>459</v>
      </c>
      <c r="F38" s="0" t="n">
        <v>2112</v>
      </c>
      <c r="G38" s="0" t="s">
        <v>138</v>
      </c>
      <c r="H38" s="0" t="n">
        <v>215</v>
      </c>
      <c r="I38" s="0" t="n">
        <v>87</v>
      </c>
      <c r="J38" s="0" t="n">
        <v>291</v>
      </c>
      <c r="K38" s="0" t="n">
        <v>158</v>
      </c>
      <c r="L38" s="0" t="n">
        <v>178</v>
      </c>
      <c r="M38" s="0" t="n">
        <v>0</v>
      </c>
      <c r="N38" s="0" t="n">
        <v>9</v>
      </c>
      <c r="O38" s="0" t="n">
        <v>212</v>
      </c>
      <c r="P38" s="0" t="n">
        <v>42</v>
      </c>
      <c r="Q38" s="114" t="n">
        <v>82</v>
      </c>
      <c r="R38" s="144" t="n">
        <v>207</v>
      </c>
      <c r="S38" s="114" t="n">
        <v>1.25</v>
      </c>
      <c r="T38" s="114" t="n">
        <v>1.3</v>
      </c>
      <c r="U38" s="114" t="n">
        <v>1.3</v>
      </c>
      <c r="V38" s="114" t="n">
        <v>0</v>
      </c>
      <c r="W38" s="152" t="s">
        <v>528</v>
      </c>
      <c r="X38" s="114" t="s">
        <v>58</v>
      </c>
      <c r="Y38" s="114" t="s">
        <v>58</v>
      </c>
      <c r="Z38" s="114" t="s">
        <v>58</v>
      </c>
      <c r="AA38" s="0" t="s">
        <v>589</v>
      </c>
      <c r="AB38" s="0" t="s">
        <v>590</v>
      </c>
      <c r="AC38" s="0" t="s">
        <v>530</v>
      </c>
      <c r="AD38" s="0" t="s">
        <v>58</v>
      </c>
      <c r="AE38" s="0" t="s">
        <v>591</v>
      </c>
      <c r="AF38" s="0" t="s">
        <v>592</v>
      </c>
      <c r="AG38" s="0" t="s">
        <v>464</v>
      </c>
      <c r="AH38" s="0" t="s">
        <v>58</v>
      </c>
    </row>
    <row r="39" customFormat="false" ht="15" hidden="false" customHeight="true" outlineLevel="0" collapsed="false">
      <c r="A39" s="0" t="n">
        <v>88</v>
      </c>
      <c r="B39" s="0" t="s">
        <v>593</v>
      </c>
      <c r="C39" s="0" t="s">
        <v>471</v>
      </c>
      <c r="D39" s="0" t="s">
        <v>527</v>
      </c>
      <c r="E39" s="0" t="s">
        <v>459</v>
      </c>
      <c r="F39" s="0" t="n">
        <v>1359</v>
      </c>
      <c r="G39" s="0" t="s">
        <v>138</v>
      </c>
      <c r="H39" s="0" t="n">
        <v>190</v>
      </c>
      <c r="I39" s="0" t="n">
        <v>68</v>
      </c>
      <c r="J39" s="0" t="n">
        <v>350</v>
      </c>
      <c r="K39" s="0" t="n">
        <v>210</v>
      </c>
      <c r="L39" s="0" t="n">
        <v>150</v>
      </c>
      <c r="M39" s="0" t="n">
        <v>0</v>
      </c>
      <c r="N39" s="0" t="n">
        <v>7</v>
      </c>
      <c r="O39" s="0" t="n">
        <v>206</v>
      </c>
      <c r="P39" s="0" t="n">
        <v>43</v>
      </c>
      <c r="Q39" s="114" t="n">
        <v>54</v>
      </c>
      <c r="R39" s="144" t="n">
        <v>178</v>
      </c>
      <c r="S39" s="114" t="n">
        <v>1.2</v>
      </c>
      <c r="T39" s="114" t="n">
        <v>1.35</v>
      </c>
      <c r="U39" s="114" t="n">
        <v>1.05</v>
      </c>
      <c r="V39" s="114" t="n">
        <v>0</v>
      </c>
      <c r="W39" s="0" t="s">
        <v>594</v>
      </c>
      <c r="X39" s="114" t="s">
        <v>58</v>
      </c>
      <c r="Y39" s="114" t="s">
        <v>58</v>
      </c>
      <c r="Z39" s="114" t="s">
        <v>58</v>
      </c>
      <c r="AA39" s="0" t="s">
        <v>595</v>
      </c>
      <c r="AB39" s="0" t="s">
        <v>596</v>
      </c>
      <c r="AC39" s="0" t="s">
        <v>58</v>
      </c>
      <c r="AD39" s="0" t="s">
        <v>58</v>
      </c>
      <c r="AE39" s="0" t="s">
        <v>597</v>
      </c>
      <c r="AF39" s="0" t="s">
        <v>464</v>
      </c>
      <c r="AG39" s="0" t="s">
        <v>58</v>
      </c>
      <c r="AH39" s="0" t="s">
        <v>58</v>
      </c>
    </row>
    <row r="40" customFormat="false" ht="14.4" hidden="false" customHeight="false" outlineLevel="0" collapsed="false">
      <c r="A40" s="0" t="n">
        <v>3088</v>
      </c>
      <c r="B40" s="0" t="s">
        <v>598</v>
      </c>
      <c r="C40" s="0" t="s">
        <v>471</v>
      </c>
      <c r="D40" s="0" t="s">
        <v>472</v>
      </c>
      <c r="E40" s="0" t="s">
        <v>459</v>
      </c>
      <c r="F40" s="0" t="n">
        <v>1524</v>
      </c>
      <c r="G40" s="0" t="s">
        <v>138</v>
      </c>
      <c r="H40" s="0" t="n">
        <v>195</v>
      </c>
      <c r="I40" s="0" t="n">
        <v>68</v>
      </c>
      <c r="J40" s="0" t="n">
        <v>385</v>
      </c>
      <c r="K40" s="0" t="n">
        <v>245</v>
      </c>
      <c r="L40" s="0" t="n">
        <v>165</v>
      </c>
      <c r="M40" s="0" t="n">
        <v>0</v>
      </c>
      <c r="N40" s="0" t="n">
        <v>7</v>
      </c>
      <c r="O40" s="0" t="n">
        <v>206</v>
      </c>
      <c r="P40" s="0" t="n">
        <v>46</v>
      </c>
      <c r="Q40" s="114" t="n">
        <v>54</v>
      </c>
      <c r="R40" s="144" t="n">
        <v>178</v>
      </c>
      <c r="S40" s="114" t="n">
        <v>1.2</v>
      </c>
      <c r="T40" s="114" t="n">
        <v>1.4</v>
      </c>
      <c r="U40" s="114" t="n">
        <v>1.1</v>
      </c>
      <c r="V40" s="114" t="n">
        <v>0</v>
      </c>
      <c r="W40" s="0" t="s">
        <v>594</v>
      </c>
      <c r="X40" s="114" t="s">
        <v>58</v>
      </c>
      <c r="Y40" s="114" t="s">
        <v>58</v>
      </c>
      <c r="Z40" s="114" t="s">
        <v>58</v>
      </c>
      <c r="AA40" s="0" t="s">
        <v>595</v>
      </c>
      <c r="AB40" s="0" t="s">
        <v>599</v>
      </c>
      <c r="AC40" s="0" t="s">
        <v>596</v>
      </c>
      <c r="AD40" s="0" t="s">
        <v>58</v>
      </c>
      <c r="AE40" s="0" t="s">
        <v>597</v>
      </c>
      <c r="AF40" s="0" t="s">
        <v>478</v>
      </c>
      <c r="AG40" s="0" t="s">
        <v>464</v>
      </c>
      <c r="AH40" s="0" t="s">
        <v>58</v>
      </c>
    </row>
    <row r="41" customFormat="false" ht="14.4" hidden="false" customHeight="false" outlineLevel="0" collapsed="false">
      <c r="A41" s="0" t="n">
        <v>444</v>
      </c>
      <c r="B41" s="0" t="s">
        <v>600</v>
      </c>
      <c r="C41" s="0" t="s">
        <v>437</v>
      </c>
      <c r="D41" s="0" t="s">
        <v>438</v>
      </c>
      <c r="E41" s="0" t="s">
        <v>74</v>
      </c>
      <c r="F41" s="0" t="n">
        <v>2190</v>
      </c>
      <c r="G41" s="0" t="s">
        <v>138</v>
      </c>
      <c r="H41" s="0" t="n">
        <v>220</v>
      </c>
      <c r="I41" s="0" t="n">
        <v>126</v>
      </c>
      <c r="J41" s="0" t="n">
        <v>360</v>
      </c>
      <c r="K41" s="0" t="n">
        <v>179</v>
      </c>
      <c r="L41" s="0" t="n">
        <v>200</v>
      </c>
      <c r="M41" s="0" t="n">
        <v>0</v>
      </c>
      <c r="N41" s="0" t="n">
        <v>9</v>
      </c>
      <c r="O41" s="0" t="n">
        <v>215</v>
      </c>
      <c r="P41" s="0" t="n">
        <v>40</v>
      </c>
      <c r="Q41" s="0" t="n">
        <v>22</v>
      </c>
      <c r="R41" s="116" t="n">
        <v>202</v>
      </c>
      <c r="S41" s="114" t="n">
        <v>1.25</v>
      </c>
      <c r="T41" s="114" t="n">
        <v>1.35</v>
      </c>
      <c r="U41" s="114" t="n">
        <v>1.3</v>
      </c>
      <c r="V41" s="114" t="n">
        <v>0</v>
      </c>
      <c r="W41" s="114" t="s">
        <v>601</v>
      </c>
      <c r="X41" s="114" t="s">
        <v>58</v>
      </c>
      <c r="Y41" s="114" t="s">
        <v>58</v>
      </c>
      <c r="Z41" s="114" t="s">
        <v>58</v>
      </c>
      <c r="AA41" s="153" t="s">
        <v>602</v>
      </c>
      <c r="AB41" s="114" t="s">
        <v>603</v>
      </c>
      <c r="AC41" s="0" t="s">
        <v>58</v>
      </c>
      <c r="AD41" s="0" t="s">
        <v>58</v>
      </c>
      <c r="AE41" s="114" t="s">
        <v>604</v>
      </c>
      <c r="AF41" s="114" t="s">
        <v>464</v>
      </c>
      <c r="AG41" s="0" t="s">
        <v>58</v>
      </c>
      <c r="AH41" s="0" t="s">
        <v>58</v>
      </c>
    </row>
    <row r="42" customFormat="false" ht="14.4" hidden="false" customHeight="false" outlineLevel="0" collapsed="false">
      <c r="A42" s="0" t="n">
        <v>8</v>
      </c>
      <c r="B42" s="0" t="s">
        <v>605</v>
      </c>
      <c r="C42" s="0" t="s">
        <v>437</v>
      </c>
      <c r="D42" s="0" t="s">
        <v>527</v>
      </c>
      <c r="E42" s="0" t="s">
        <v>459</v>
      </c>
      <c r="F42" s="0" t="n">
        <v>1774</v>
      </c>
      <c r="G42" s="0" t="s">
        <v>138</v>
      </c>
      <c r="H42" s="0" t="n">
        <v>196</v>
      </c>
      <c r="I42" s="0" t="n">
        <v>72</v>
      </c>
      <c r="J42" s="0" t="n">
        <v>429</v>
      </c>
      <c r="K42" s="0" t="n">
        <v>163</v>
      </c>
      <c r="L42" s="0" t="n">
        <v>171</v>
      </c>
      <c r="M42" s="0" t="n">
        <v>0</v>
      </c>
      <c r="N42" s="0" t="n">
        <v>7</v>
      </c>
      <c r="O42" s="0" t="n">
        <v>192</v>
      </c>
      <c r="P42" s="0" t="n">
        <v>46</v>
      </c>
      <c r="Q42" s="114" t="n">
        <v>72</v>
      </c>
      <c r="R42" s="144" t="n">
        <v>194</v>
      </c>
      <c r="S42" s="114" t="n">
        <v>1.15</v>
      </c>
      <c r="T42" s="114" t="n">
        <v>1.35</v>
      </c>
      <c r="U42" s="114" t="n">
        <v>1.25</v>
      </c>
      <c r="V42" s="114" t="n">
        <v>0</v>
      </c>
      <c r="W42" s="0" t="s">
        <v>606</v>
      </c>
      <c r="X42" s="114" t="s">
        <v>58</v>
      </c>
      <c r="Y42" s="114" t="s">
        <v>58</v>
      </c>
      <c r="Z42" s="114" t="s">
        <v>58</v>
      </c>
      <c r="AA42" s="0" t="s">
        <v>518</v>
      </c>
      <c r="AB42" s="0" t="s">
        <v>607</v>
      </c>
      <c r="AC42" s="0" t="s">
        <v>58</v>
      </c>
      <c r="AD42" s="0" t="s">
        <v>58</v>
      </c>
      <c r="AE42" s="0" t="s">
        <v>520</v>
      </c>
      <c r="AF42" s="0" t="s">
        <v>464</v>
      </c>
      <c r="AG42" s="0" t="s">
        <v>58</v>
      </c>
      <c r="AH42" s="0" t="s">
        <v>58</v>
      </c>
    </row>
    <row r="43" customFormat="false" ht="14.4" hidden="false" customHeight="false" outlineLevel="0" collapsed="false">
      <c r="A43" s="0" t="n">
        <v>89</v>
      </c>
      <c r="B43" s="0" t="s">
        <v>608</v>
      </c>
      <c r="C43" s="0" t="s">
        <v>471</v>
      </c>
      <c r="D43" s="0" t="s">
        <v>527</v>
      </c>
      <c r="E43" s="0" t="s">
        <v>459</v>
      </c>
      <c r="F43" s="0" t="n">
        <v>1359</v>
      </c>
      <c r="G43" s="0" t="s">
        <v>138</v>
      </c>
      <c r="H43" s="0" t="n">
        <v>190</v>
      </c>
      <c r="I43" s="0" t="n">
        <v>68</v>
      </c>
      <c r="J43" s="0" t="n">
        <v>350</v>
      </c>
      <c r="K43" s="0" t="n">
        <v>210</v>
      </c>
      <c r="L43" s="0" t="n">
        <v>150</v>
      </c>
      <c r="M43" s="0" t="n">
        <v>0</v>
      </c>
      <c r="N43" s="0" t="n">
        <v>7</v>
      </c>
      <c r="O43" s="0" t="n">
        <v>206</v>
      </c>
      <c r="P43" s="0" t="n">
        <v>43</v>
      </c>
      <c r="Q43" s="114" t="n">
        <v>35</v>
      </c>
      <c r="R43" s="144" t="n">
        <v>178</v>
      </c>
      <c r="S43" s="114" t="n">
        <v>1.2</v>
      </c>
      <c r="T43" s="114" t="n">
        <v>1.35</v>
      </c>
      <c r="U43" s="114" t="n">
        <v>1.05</v>
      </c>
      <c r="V43" s="114" t="n">
        <v>0</v>
      </c>
      <c r="W43" s="0" t="s">
        <v>594</v>
      </c>
      <c r="X43" s="114" t="s">
        <v>58</v>
      </c>
      <c r="Y43" s="114" t="s">
        <v>58</v>
      </c>
      <c r="Z43" s="114" t="s">
        <v>58</v>
      </c>
      <c r="AA43" s="0" t="s">
        <v>555</v>
      </c>
      <c r="AB43" s="0" t="s">
        <v>596</v>
      </c>
      <c r="AC43" s="0" t="s">
        <v>58</v>
      </c>
      <c r="AD43" s="0" t="s">
        <v>58</v>
      </c>
      <c r="AE43" s="0" t="s">
        <v>557</v>
      </c>
      <c r="AF43" s="0" t="s">
        <v>464</v>
      </c>
      <c r="AG43" s="0" t="s">
        <v>58</v>
      </c>
      <c r="AH43" s="0" t="s">
        <v>58</v>
      </c>
    </row>
    <row r="44" customFormat="false" ht="14.4" hidden="false" customHeight="false" outlineLevel="0" collapsed="false">
      <c r="A44" s="0" t="n">
        <v>3089</v>
      </c>
      <c r="B44" s="0" t="s">
        <v>609</v>
      </c>
      <c r="C44" s="0" t="s">
        <v>471</v>
      </c>
      <c r="D44" s="0" t="s">
        <v>472</v>
      </c>
      <c r="E44" s="0" t="s">
        <v>459</v>
      </c>
      <c r="F44" s="0" t="n">
        <v>1524</v>
      </c>
      <c r="G44" s="0" t="s">
        <v>138</v>
      </c>
      <c r="H44" s="0" t="n">
        <v>190</v>
      </c>
      <c r="I44" s="0" t="n">
        <v>108</v>
      </c>
      <c r="J44" s="0" t="n">
        <v>350</v>
      </c>
      <c r="K44" s="0" t="n">
        <v>240</v>
      </c>
      <c r="L44" s="0" t="n">
        <v>165</v>
      </c>
      <c r="M44" s="0" t="n">
        <v>0</v>
      </c>
      <c r="N44" s="0" t="n">
        <v>7</v>
      </c>
      <c r="O44" s="0" t="n">
        <v>206</v>
      </c>
      <c r="P44" s="0" t="n">
        <v>46</v>
      </c>
      <c r="Q44" s="114" t="n">
        <v>35</v>
      </c>
      <c r="R44" s="144" t="n">
        <v>183</v>
      </c>
      <c r="S44" s="114" t="n">
        <v>1.25</v>
      </c>
      <c r="T44" s="114" t="n">
        <v>1.35</v>
      </c>
      <c r="U44" s="114" t="n">
        <v>1.1</v>
      </c>
      <c r="V44" s="114" t="n">
        <v>0</v>
      </c>
      <c r="W44" s="0" t="s">
        <v>594</v>
      </c>
      <c r="X44" s="114" t="s">
        <v>58</v>
      </c>
      <c r="Y44" s="114" t="s">
        <v>58</v>
      </c>
      <c r="Z44" s="114" t="s">
        <v>58</v>
      </c>
      <c r="AA44" s="0" t="s">
        <v>555</v>
      </c>
      <c r="AB44" s="0" t="s">
        <v>610</v>
      </c>
      <c r="AC44" s="0" t="s">
        <v>596</v>
      </c>
      <c r="AD44" s="0" t="s">
        <v>58</v>
      </c>
      <c r="AE44" s="0" t="s">
        <v>557</v>
      </c>
      <c r="AF44" s="0" t="s">
        <v>478</v>
      </c>
      <c r="AG44" s="0" t="s">
        <v>464</v>
      </c>
      <c r="AH44" s="0" t="s">
        <v>58</v>
      </c>
    </row>
    <row r="45" customFormat="false" ht="15" hidden="false" customHeight="true" outlineLevel="0" collapsed="false">
      <c r="A45" s="0" t="n">
        <v>90</v>
      </c>
      <c r="B45" s="0" t="s">
        <v>611</v>
      </c>
      <c r="C45" s="0" t="s">
        <v>471</v>
      </c>
      <c r="D45" s="0" t="s">
        <v>527</v>
      </c>
      <c r="E45" s="0" t="s">
        <v>459</v>
      </c>
      <c r="F45" s="0" t="n">
        <v>1359</v>
      </c>
      <c r="G45" s="0" t="s">
        <v>138</v>
      </c>
      <c r="H45" s="0" t="n">
        <v>190</v>
      </c>
      <c r="I45" s="0" t="n">
        <v>68</v>
      </c>
      <c r="J45" s="0" t="n">
        <v>350</v>
      </c>
      <c r="K45" s="0" t="n">
        <v>210</v>
      </c>
      <c r="L45" s="0" t="n">
        <v>150</v>
      </c>
      <c r="M45" s="0" t="n">
        <v>0</v>
      </c>
      <c r="N45" s="0" t="n">
        <v>7</v>
      </c>
      <c r="O45" s="0" t="n">
        <v>210</v>
      </c>
      <c r="P45" s="0" t="n">
        <v>43</v>
      </c>
      <c r="Q45" s="114" t="n">
        <v>72</v>
      </c>
      <c r="R45" s="144" t="n">
        <v>178</v>
      </c>
      <c r="S45" s="114" t="n">
        <v>1.2</v>
      </c>
      <c r="T45" s="114" t="n">
        <v>1.35</v>
      </c>
      <c r="U45" s="114" t="n">
        <v>1.05</v>
      </c>
      <c r="V45" s="114" t="n">
        <v>0</v>
      </c>
      <c r="W45" s="0" t="s">
        <v>594</v>
      </c>
      <c r="X45" s="114" t="s">
        <v>58</v>
      </c>
      <c r="Y45" s="114" t="s">
        <v>58</v>
      </c>
      <c r="Z45" s="114" t="s">
        <v>58</v>
      </c>
      <c r="AA45" s="0" t="s">
        <v>555</v>
      </c>
      <c r="AB45" s="0" t="s">
        <v>596</v>
      </c>
      <c r="AC45" s="0" t="s">
        <v>58</v>
      </c>
      <c r="AD45" s="0" t="s">
        <v>58</v>
      </c>
      <c r="AE45" s="0" t="s">
        <v>557</v>
      </c>
      <c r="AF45" s="0" t="s">
        <v>464</v>
      </c>
      <c r="AG45" s="0" t="s">
        <v>58</v>
      </c>
      <c r="AH45" s="0" t="s">
        <v>58</v>
      </c>
    </row>
    <row r="46" customFormat="false" ht="14.4" hidden="false" customHeight="false" outlineLevel="0" collapsed="false">
      <c r="A46" s="0" t="n">
        <v>3090</v>
      </c>
      <c r="B46" s="0" t="s">
        <v>612</v>
      </c>
      <c r="C46" s="0" t="s">
        <v>471</v>
      </c>
      <c r="D46" s="0" t="s">
        <v>472</v>
      </c>
      <c r="E46" s="0" t="s">
        <v>459</v>
      </c>
      <c r="F46" s="0" t="n">
        <v>1524</v>
      </c>
      <c r="G46" s="0" t="s">
        <v>138</v>
      </c>
      <c r="H46" s="0" t="n">
        <v>190</v>
      </c>
      <c r="I46" s="0" t="n">
        <v>98</v>
      </c>
      <c r="J46" s="0" t="n">
        <v>350</v>
      </c>
      <c r="K46" s="0" t="n">
        <v>255</v>
      </c>
      <c r="L46" s="0" t="n">
        <v>165</v>
      </c>
      <c r="M46" s="0" t="n">
        <v>0</v>
      </c>
      <c r="N46" s="0" t="n">
        <v>7</v>
      </c>
      <c r="O46" s="0" t="n">
        <v>210</v>
      </c>
      <c r="P46" s="0" t="n">
        <v>46</v>
      </c>
      <c r="Q46" s="114" t="n">
        <v>72</v>
      </c>
      <c r="R46" s="144" t="n">
        <v>178</v>
      </c>
      <c r="S46" s="114" t="n">
        <v>1.25</v>
      </c>
      <c r="T46" s="114" t="n">
        <v>1.35</v>
      </c>
      <c r="U46" s="114" t="n">
        <v>1.1</v>
      </c>
      <c r="V46" s="114" t="n">
        <v>0</v>
      </c>
      <c r="W46" s="0" t="s">
        <v>594</v>
      </c>
      <c r="X46" s="114" t="s">
        <v>58</v>
      </c>
      <c r="Y46" s="114" t="s">
        <v>58</v>
      </c>
      <c r="Z46" s="114" t="s">
        <v>58</v>
      </c>
      <c r="AA46" s="0" t="s">
        <v>555</v>
      </c>
      <c r="AB46" s="0" t="s">
        <v>610</v>
      </c>
      <c r="AC46" s="0" t="s">
        <v>596</v>
      </c>
      <c r="AD46" s="0" t="s">
        <v>58</v>
      </c>
      <c r="AE46" s="0" t="s">
        <v>557</v>
      </c>
      <c r="AF46" s="0" t="s">
        <v>478</v>
      </c>
      <c r="AG46" s="0" t="s">
        <v>464</v>
      </c>
      <c r="AH46" s="0" t="s">
        <v>58</v>
      </c>
    </row>
    <row r="47" customFormat="false" ht="15" hidden="false" customHeight="true" outlineLevel="0" collapsed="false">
      <c r="A47" s="0" t="n">
        <v>4</v>
      </c>
      <c r="B47" s="0" t="s">
        <v>613</v>
      </c>
      <c r="C47" s="0" t="s">
        <v>437</v>
      </c>
      <c r="D47" s="0" t="s">
        <v>472</v>
      </c>
      <c r="E47" s="0" t="s">
        <v>74</v>
      </c>
      <c r="F47" s="0" t="n">
        <v>1647</v>
      </c>
      <c r="G47" s="0" t="s">
        <v>138</v>
      </c>
      <c r="H47" s="0" t="n">
        <v>162</v>
      </c>
      <c r="I47" s="0" t="n">
        <v>74</v>
      </c>
      <c r="J47" s="0" t="n">
        <v>279</v>
      </c>
      <c r="K47" s="0" t="n">
        <v>162</v>
      </c>
      <c r="L47" s="0" t="n">
        <v>185</v>
      </c>
      <c r="M47" s="0" t="n">
        <v>0</v>
      </c>
      <c r="N47" s="0" t="n">
        <v>7</v>
      </c>
      <c r="O47" s="0" t="n">
        <v>184</v>
      </c>
      <c r="P47" s="0" t="n">
        <v>44</v>
      </c>
      <c r="Q47" s="114" t="n">
        <v>72</v>
      </c>
      <c r="R47" s="144" t="n">
        <v>173</v>
      </c>
      <c r="S47" s="114" t="n">
        <v>1.2</v>
      </c>
      <c r="T47" s="114" t="n">
        <v>1.3</v>
      </c>
      <c r="U47" s="114" t="n">
        <v>1.3</v>
      </c>
      <c r="V47" s="114" t="n">
        <v>0</v>
      </c>
      <c r="W47" s="114" t="s">
        <v>58</v>
      </c>
      <c r="X47" s="114" t="s">
        <v>58</v>
      </c>
      <c r="Y47" s="114" t="s">
        <v>58</v>
      </c>
      <c r="Z47" s="114" t="s">
        <v>58</v>
      </c>
      <c r="AA47" s="0" t="s">
        <v>614</v>
      </c>
      <c r="AB47" s="0" t="s">
        <v>489</v>
      </c>
      <c r="AC47" s="0" t="s">
        <v>58</v>
      </c>
      <c r="AD47" s="0" t="s">
        <v>58</v>
      </c>
      <c r="AE47" s="0" t="s">
        <v>615</v>
      </c>
      <c r="AF47" s="0" t="s">
        <v>464</v>
      </c>
      <c r="AG47" s="0" t="s">
        <v>58</v>
      </c>
      <c r="AH47" s="0" t="s">
        <v>58</v>
      </c>
    </row>
    <row r="48" customFormat="false" ht="14.4" hidden="false" customHeight="false" outlineLevel="0" collapsed="false">
      <c r="A48" s="0" t="n">
        <v>6</v>
      </c>
      <c r="B48" s="0" t="s">
        <v>616</v>
      </c>
      <c r="C48" s="0" t="s">
        <v>437</v>
      </c>
      <c r="D48" s="0" t="s">
        <v>527</v>
      </c>
      <c r="E48" s="0" t="s">
        <v>459</v>
      </c>
      <c r="F48" s="0" t="n">
        <v>1735</v>
      </c>
      <c r="G48" s="0" t="s">
        <v>138</v>
      </c>
      <c r="H48" s="0" t="n">
        <v>190</v>
      </c>
      <c r="I48" s="0" t="n">
        <v>76</v>
      </c>
      <c r="J48" s="0" t="n">
        <v>283</v>
      </c>
      <c r="K48" s="0" t="n">
        <v>162</v>
      </c>
      <c r="L48" s="0" t="n">
        <v>168</v>
      </c>
      <c r="M48" s="0" t="n">
        <v>0</v>
      </c>
      <c r="N48" s="0" t="n">
        <v>7</v>
      </c>
      <c r="O48" s="0" t="n">
        <v>181</v>
      </c>
      <c r="P48" s="0" t="n">
        <v>44</v>
      </c>
      <c r="Q48" s="114" t="n">
        <v>63</v>
      </c>
      <c r="R48" s="144" t="n">
        <v>182</v>
      </c>
      <c r="S48" s="114" t="n">
        <v>1.2</v>
      </c>
      <c r="T48" s="114" t="n">
        <v>1.3</v>
      </c>
      <c r="U48" s="114" t="n">
        <v>1.3</v>
      </c>
      <c r="V48" s="114" t="n">
        <v>0</v>
      </c>
      <c r="W48" s="0" t="s">
        <v>579</v>
      </c>
      <c r="X48" s="114" t="s">
        <v>58</v>
      </c>
      <c r="Y48" s="114" t="s">
        <v>58</v>
      </c>
      <c r="Z48" s="114" t="s">
        <v>58</v>
      </c>
      <c r="AA48" s="0" t="s">
        <v>580</v>
      </c>
      <c r="AB48" s="0" t="s">
        <v>581</v>
      </c>
      <c r="AC48" s="0" t="s">
        <v>58</v>
      </c>
      <c r="AD48" s="0" t="s">
        <v>58</v>
      </c>
      <c r="AE48" s="0" t="s">
        <v>582</v>
      </c>
      <c r="AF48" s="0" t="s">
        <v>464</v>
      </c>
      <c r="AG48" s="0" t="s">
        <v>58</v>
      </c>
      <c r="AH48" s="0" t="s">
        <v>58</v>
      </c>
    </row>
    <row r="49" customFormat="false" ht="14.4" hidden="false" customHeight="false" outlineLevel="0" collapsed="false">
      <c r="A49" s="0" t="n">
        <v>3006</v>
      </c>
      <c r="B49" s="0" t="s">
        <v>617</v>
      </c>
      <c r="C49" s="0" t="s">
        <v>437</v>
      </c>
      <c r="D49" s="0" t="s">
        <v>472</v>
      </c>
      <c r="E49" s="0" t="s">
        <v>459</v>
      </c>
      <c r="F49" s="0" t="n">
        <v>1900</v>
      </c>
      <c r="G49" s="0" t="s">
        <v>138</v>
      </c>
      <c r="H49" s="0" t="n">
        <v>210</v>
      </c>
      <c r="I49" s="0" t="n">
        <v>101</v>
      </c>
      <c r="J49" s="0" t="n">
        <v>293</v>
      </c>
      <c r="K49" s="0" t="n">
        <v>187</v>
      </c>
      <c r="L49" s="0" t="n">
        <v>168</v>
      </c>
      <c r="M49" s="0" t="n">
        <v>0</v>
      </c>
      <c r="N49" s="0" t="n">
        <v>7</v>
      </c>
      <c r="O49" s="0" t="n">
        <v>181</v>
      </c>
      <c r="P49" s="0" t="n">
        <v>47</v>
      </c>
      <c r="Q49" s="114" t="n">
        <v>63</v>
      </c>
      <c r="R49" s="144" t="n">
        <v>182</v>
      </c>
      <c r="S49" s="114" t="n">
        <v>1.25</v>
      </c>
      <c r="T49" s="114" t="n">
        <v>1.35</v>
      </c>
      <c r="U49" s="114" t="n">
        <v>1.3</v>
      </c>
      <c r="V49" s="114" t="n">
        <v>0</v>
      </c>
      <c r="W49" s="0" t="s">
        <v>579</v>
      </c>
      <c r="X49" s="114" t="s">
        <v>58</v>
      </c>
      <c r="Y49" s="114" t="s">
        <v>58</v>
      </c>
      <c r="Z49" s="114" t="s">
        <v>58</v>
      </c>
      <c r="AA49" s="0" t="s">
        <v>580</v>
      </c>
      <c r="AB49" s="0" t="s">
        <v>529</v>
      </c>
      <c r="AC49" s="0" t="s">
        <v>581</v>
      </c>
      <c r="AD49" s="0" t="s">
        <v>58</v>
      </c>
      <c r="AE49" s="0" t="s">
        <v>582</v>
      </c>
      <c r="AF49" s="0" t="s">
        <v>531</v>
      </c>
      <c r="AG49" s="0" t="s">
        <v>464</v>
      </c>
      <c r="AH49" s="0" t="s">
        <v>58</v>
      </c>
    </row>
    <row r="50" customFormat="false" ht="14.4" hidden="false" customHeight="false" outlineLevel="0" collapsed="false">
      <c r="A50" s="0" t="n">
        <v>389</v>
      </c>
      <c r="B50" s="0" t="s">
        <v>618</v>
      </c>
      <c r="C50" s="0" t="s">
        <v>471</v>
      </c>
      <c r="D50" s="0" t="s">
        <v>438</v>
      </c>
      <c r="E50" s="0" t="s">
        <v>74</v>
      </c>
      <c r="F50" s="0" t="n">
        <v>1400</v>
      </c>
      <c r="G50" s="0" t="s">
        <v>138</v>
      </c>
      <c r="H50" s="0" t="n">
        <v>193</v>
      </c>
      <c r="I50" s="0" t="n">
        <v>73</v>
      </c>
      <c r="J50" s="0" t="n">
        <v>360</v>
      </c>
      <c r="K50" s="0" t="n">
        <v>209</v>
      </c>
      <c r="L50" s="0" t="n">
        <v>152</v>
      </c>
      <c r="M50" s="0" t="n">
        <v>0</v>
      </c>
      <c r="N50" s="0" t="n">
        <v>8</v>
      </c>
      <c r="O50" s="0" t="n">
        <v>207</v>
      </c>
      <c r="P50" s="0" t="n">
        <v>42</v>
      </c>
      <c r="Q50" s="0" t="n">
        <v>65</v>
      </c>
      <c r="R50" s="144" t="n">
        <v>178</v>
      </c>
      <c r="S50" s="114" t="n">
        <v>1.2</v>
      </c>
      <c r="T50" s="114" t="n">
        <v>1.4</v>
      </c>
      <c r="U50" s="114" t="n">
        <v>1.05</v>
      </c>
      <c r="V50" s="114" t="n">
        <v>0</v>
      </c>
      <c r="W50" s="114" t="s">
        <v>619</v>
      </c>
      <c r="X50" s="114" t="s">
        <v>58</v>
      </c>
      <c r="Y50" s="114" t="s">
        <v>58</v>
      </c>
      <c r="Z50" s="114" t="s">
        <v>58</v>
      </c>
      <c r="AA50" s="0" t="s">
        <v>620</v>
      </c>
      <c r="AB50" s="0" t="s">
        <v>621</v>
      </c>
      <c r="AC50" s="0" t="s">
        <v>58</v>
      </c>
      <c r="AD50" s="0" t="s">
        <v>58</v>
      </c>
      <c r="AE50" s="0" t="s">
        <v>622</v>
      </c>
      <c r="AF50" s="0" t="s">
        <v>464</v>
      </c>
      <c r="AG50" s="0" t="s">
        <v>58</v>
      </c>
      <c r="AH50" s="0" t="s">
        <v>58</v>
      </c>
    </row>
    <row r="51" customFormat="false" ht="14.4" hidden="false" customHeight="false" outlineLevel="0" collapsed="false">
      <c r="A51" s="0" t="n">
        <v>28</v>
      </c>
      <c r="B51" s="0" t="s">
        <v>623</v>
      </c>
      <c r="C51" s="0" t="s">
        <v>437</v>
      </c>
      <c r="D51" s="0" t="s">
        <v>430</v>
      </c>
      <c r="E51" s="0" t="s">
        <v>459</v>
      </c>
      <c r="F51" s="0" t="n">
        <v>1720</v>
      </c>
      <c r="G51" s="0" t="s">
        <v>138</v>
      </c>
      <c r="H51" s="0" t="n">
        <v>231</v>
      </c>
      <c r="I51" s="0" t="n">
        <v>81</v>
      </c>
      <c r="J51" s="0" t="n">
        <v>381</v>
      </c>
      <c r="K51" s="0" t="n">
        <v>211</v>
      </c>
      <c r="L51" s="0" t="n">
        <v>183</v>
      </c>
      <c r="M51" s="0" t="n">
        <v>0</v>
      </c>
      <c r="N51" s="0" t="n">
        <v>10</v>
      </c>
      <c r="O51" s="0" t="n">
        <v>226</v>
      </c>
      <c r="P51" s="0" t="n">
        <v>25</v>
      </c>
      <c r="Q51" s="114" t="n">
        <v>75</v>
      </c>
      <c r="R51" s="144" t="n">
        <v>194</v>
      </c>
      <c r="S51" s="114" t="n">
        <v>1.15</v>
      </c>
      <c r="T51" s="114" t="n">
        <v>1.3</v>
      </c>
      <c r="U51" s="114" t="n">
        <v>1.25</v>
      </c>
      <c r="V51" s="114" t="n">
        <v>0</v>
      </c>
      <c r="W51" s="0" t="s">
        <v>624</v>
      </c>
      <c r="X51" s="114" t="s">
        <v>58</v>
      </c>
      <c r="Y51" s="114" t="s">
        <v>58</v>
      </c>
      <c r="Z51" s="114" t="s">
        <v>58</v>
      </c>
      <c r="AA51" s="0" t="s">
        <v>625</v>
      </c>
      <c r="AB51" s="0" t="s">
        <v>626</v>
      </c>
      <c r="AC51" s="0" t="s">
        <v>58</v>
      </c>
      <c r="AD51" s="0" t="s">
        <v>58</v>
      </c>
      <c r="AE51" s="0" t="s">
        <v>627</v>
      </c>
      <c r="AF51" s="0" t="s">
        <v>464</v>
      </c>
      <c r="AG51" s="0" t="s">
        <v>58</v>
      </c>
      <c r="AH51" s="0" t="s">
        <v>58</v>
      </c>
    </row>
    <row r="52" customFormat="false" ht="15" hidden="false" customHeight="true" outlineLevel="0" collapsed="false">
      <c r="B52" s="0" t="s">
        <v>628</v>
      </c>
      <c r="C52" s="0" t="s">
        <v>471</v>
      </c>
      <c r="D52" s="0" t="s">
        <v>438</v>
      </c>
      <c r="E52" s="0" t="s">
        <v>74</v>
      </c>
      <c r="F52" s="0" t="n">
        <v>1657</v>
      </c>
      <c r="G52" s="0" t="s">
        <v>138</v>
      </c>
      <c r="H52" s="0" t="n">
        <v>212</v>
      </c>
      <c r="I52" s="0" t="n">
        <v>87</v>
      </c>
      <c r="J52" s="0" t="n">
        <v>350</v>
      </c>
      <c r="K52" s="0" t="n">
        <v>211</v>
      </c>
      <c r="L52" s="0" t="n">
        <v>156</v>
      </c>
      <c r="M52" s="0" t="n">
        <v>0</v>
      </c>
      <c r="N52" s="0" t="n">
        <v>9</v>
      </c>
      <c r="O52" s="0" t="n">
        <v>193</v>
      </c>
      <c r="P52" s="0" t="n">
        <v>43</v>
      </c>
      <c r="Q52" s="0" t="n">
        <v>72</v>
      </c>
      <c r="R52" s="116" t="n">
        <v>188</v>
      </c>
      <c r="S52" s="114" t="n">
        <v>1</v>
      </c>
      <c r="T52" s="114" t="n">
        <v>1.35</v>
      </c>
      <c r="U52" s="114" t="n">
        <v>1</v>
      </c>
      <c r="V52" s="114" t="n">
        <v>0</v>
      </c>
      <c r="W52" s="114" t="s">
        <v>629</v>
      </c>
      <c r="X52" s="114" t="s">
        <v>630</v>
      </c>
      <c r="Y52" s="114" t="s">
        <v>58</v>
      </c>
      <c r="Z52" s="114" t="s">
        <v>58</v>
      </c>
      <c r="AA52" s="114"/>
      <c r="AB52" s="114"/>
      <c r="AC52" s="114"/>
      <c r="AD52" s="114"/>
      <c r="AE52" s="114"/>
      <c r="AF52" s="114"/>
      <c r="AG52" s="114"/>
      <c r="AH52" s="114"/>
    </row>
    <row r="53" customFormat="false" ht="14.4" hidden="false" customHeight="false" outlineLevel="0" collapsed="false">
      <c r="A53" s="0" t="n">
        <v>11</v>
      </c>
      <c r="B53" s="0" t="s">
        <v>631</v>
      </c>
      <c r="C53" s="0" t="s">
        <v>437</v>
      </c>
      <c r="D53" s="0" t="s">
        <v>472</v>
      </c>
      <c r="E53" s="0" t="s">
        <v>459</v>
      </c>
      <c r="F53" s="0" t="n">
        <v>2077</v>
      </c>
      <c r="G53" s="0" t="s">
        <v>138</v>
      </c>
      <c r="H53" s="0" t="n">
        <v>196</v>
      </c>
      <c r="I53" s="0" t="n">
        <v>85</v>
      </c>
      <c r="J53" s="0" t="n">
        <v>283</v>
      </c>
      <c r="K53" s="0" t="n">
        <v>160</v>
      </c>
      <c r="L53" s="0" t="n">
        <v>172</v>
      </c>
      <c r="M53" s="0" t="n">
        <v>0</v>
      </c>
      <c r="N53" s="0" t="n">
        <v>8</v>
      </c>
      <c r="O53" s="0" t="n">
        <v>206</v>
      </c>
      <c r="P53" s="0" t="n">
        <v>43</v>
      </c>
      <c r="Q53" s="114" t="n">
        <v>73</v>
      </c>
      <c r="R53" s="144" t="n">
        <v>189</v>
      </c>
      <c r="S53" s="114" t="n">
        <v>1.2</v>
      </c>
      <c r="T53" s="114" t="n">
        <v>1.3</v>
      </c>
      <c r="U53" s="114" t="n">
        <v>1.3</v>
      </c>
      <c r="V53" s="114" t="n">
        <v>0</v>
      </c>
      <c r="W53" s="152" t="s">
        <v>528</v>
      </c>
      <c r="X53" s="114" t="s">
        <v>58</v>
      </c>
      <c r="Y53" s="114" t="s">
        <v>58</v>
      </c>
      <c r="Z53" s="114" t="s">
        <v>58</v>
      </c>
      <c r="AA53" s="0" t="s">
        <v>632</v>
      </c>
      <c r="AB53" s="0" t="s">
        <v>633</v>
      </c>
      <c r="AC53" s="0" t="s">
        <v>634</v>
      </c>
      <c r="AD53" s="0" t="s">
        <v>58</v>
      </c>
      <c r="AE53" s="0" t="s">
        <v>635</v>
      </c>
      <c r="AF53" s="0" t="s">
        <v>636</v>
      </c>
      <c r="AG53" s="0" t="s">
        <v>464</v>
      </c>
      <c r="AH53" s="0" t="s">
        <v>58</v>
      </c>
    </row>
    <row r="54" customFormat="false" ht="14.4" hidden="false" customHeight="false" outlineLevel="0" collapsed="false">
      <c r="A54" s="0" t="n">
        <v>16</v>
      </c>
      <c r="B54" s="0" t="s">
        <v>637</v>
      </c>
      <c r="C54" s="0" t="s">
        <v>437</v>
      </c>
      <c r="D54" s="0" t="s">
        <v>527</v>
      </c>
      <c r="E54" s="0" t="s">
        <v>459</v>
      </c>
      <c r="F54" s="0" t="n">
        <v>1998</v>
      </c>
      <c r="G54" s="0" t="s">
        <v>138</v>
      </c>
      <c r="H54" s="0" t="n">
        <v>196</v>
      </c>
      <c r="I54" s="0" t="n">
        <v>82</v>
      </c>
      <c r="J54" s="0" t="n">
        <v>279</v>
      </c>
      <c r="K54" s="0" t="n">
        <v>158</v>
      </c>
      <c r="L54" s="0" t="n">
        <v>171</v>
      </c>
      <c r="M54" s="0" t="n">
        <v>0</v>
      </c>
      <c r="N54" s="0" t="n">
        <v>7</v>
      </c>
      <c r="O54" s="0" t="n">
        <v>202</v>
      </c>
      <c r="P54" s="0" t="n">
        <v>42</v>
      </c>
      <c r="Q54" s="114" t="n">
        <v>67</v>
      </c>
      <c r="R54" s="144" t="n">
        <v>197</v>
      </c>
      <c r="S54" s="114" t="n">
        <v>1.2</v>
      </c>
      <c r="T54" s="114" t="n">
        <v>1.3</v>
      </c>
      <c r="U54" s="114" t="n">
        <v>1.3</v>
      </c>
      <c r="V54" s="114" t="n">
        <v>0</v>
      </c>
      <c r="W54" s="152" t="s">
        <v>528</v>
      </c>
      <c r="X54" s="114" t="s">
        <v>58</v>
      </c>
      <c r="Y54" s="114" t="s">
        <v>58</v>
      </c>
      <c r="Z54" s="114" t="s">
        <v>58</v>
      </c>
      <c r="AA54" s="0" t="s">
        <v>529</v>
      </c>
      <c r="AB54" s="0" t="s">
        <v>634</v>
      </c>
      <c r="AC54" s="0" t="s">
        <v>58</v>
      </c>
      <c r="AD54" s="0" t="s">
        <v>58</v>
      </c>
      <c r="AE54" s="0" t="s">
        <v>531</v>
      </c>
      <c r="AF54" s="0" t="s">
        <v>464</v>
      </c>
      <c r="AG54" s="0" t="s">
        <v>58</v>
      </c>
      <c r="AH54" s="0" t="s">
        <v>58</v>
      </c>
    </row>
    <row r="55" customFormat="false" ht="14.4" hidden="false" customHeight="false" outlineLevel="0" collapsed="false">
      <c r="A55" s="0" t="n">
        <v>348</v>
      </c>
      <c r="B55" s="0" t="s">
        <v>638</v>
      </c>
      <c r="C55" s="0" t="s">
        <v>639</v>
      </c>
      <c r="D55" s="0" t="s">
        <v>472</v>
      </c>
      <c r="E55" s="0" t="s">
        <v>459</v>
      </c>
      <c r="F55" s="0" t="n">
        <v>1376</v>
      </c>
      <c r="G55" s="0" t="s">
        <v>138</v>
      </c>
      <c r="H55" s="0" t="n">
        <v>193</v>
      </c>
      <c r="I55" s="0" t="n">
        <v>69</v>
      </c>
      <c r="J55" s="0" t="n">
        <v>409</v>
      </c>
      <c r="K55" s="0" t="n">
        <v>200</v>
      </c>
      <c r="L55" s="0" t="n">
        <v>138</v>
      </c>
      <c r="M55" s="0" t="n">
        <v>0</v>
      </c>
      <c r="N55" s="0" t="n">
        <v>8</v>
      </c>
      <c r="O55" s="0" t="n">
        <v>189</v>
      </c>
      <c r="P55" s="0" t="n">
        <v>39</v>
      </c>
      <c r="Q55" s="114" t="n">
        <v>69</v>
      </c>
      <c r="R55" s="144" t="n">
        <v>186</v>
      </c>
      <c r="S55" s="114" t="n">
        <v>1.15</v>
      </c>
      <c r="T55" s="114" t="n">
        <v>1.4</v>
      </c>
      <c r="U55" s="114" t="n">
        <v>0.75</v>
      </c>
      <c r="V55" s="114" t="n">
        <v>0</v>
      </c>
      <c r="W55" s="0" t="s">
        <v>640</v>
      </c>
      <c r="X55" s="114" t="s">
        <v>58</v>
      </c>
      <c r="Y55" s="114" t="s">
        <v>58</v>
      </c>
      <c r="Z55" s="114" t="s">
        <v>58</v>
      </c>
      <c r="AA55" s="0" t="s">
        <v>641</v>
      </c>
      <c r="AB55" s="0" t="s">
        <v>642</v>
      </c>
      <c r="AC55" s="0" t="s">
        <v>58</v>
      </c>
      <c r="AD55" s="0" t="s">
        <v>58</v>
      </c>
      <c r="AE55" s="0" t="s">
        <v>643</v>
      </c>
      <c r="AF55" s="0" t="s">
        <v>464</v>
      </c>
      <c r="AG55" s="0" t="s">
        <v>58</v>
      </c>
      <c r="AH55" s="0" t="s">
        <v>58</v>
      </c>
    </row>
    <row r="56" customFormat="false" ht="14.4" hidden="false" customHeight="false" outlineLevel="0" collapsed="false">
      <c r="A56" s="0" t="n">
        <v>3348</v>
      </c>
      <c r="B56" s="0" t="s">
        <v>644</v>
      </c>
      <c r="C56" s="0" t="s">
        <v>639</v>
      </c>
      <c r="D56" s="0" t="s">
        <v>438</v>
      </c>
      <c r="E56" s="0" t="s">
        <v>459</v>
      </c>
      <c r="F56" s="0" t="n">
        <v>1436</v>
      </c>
      <c r="G56" s="0" t="s">
        <v>138</v>
      </c>
      <c r="H56" s="0" t="n">
        <v>193</v>
      </c>
      <c r="I56" s="0" t="n">
        <v>89</v>
      </c>
      <c r="J56" s="0" t="n">
        <v>439</v>
      </c>
      <c r="K56" s="0" t="n">
        <v>200</v>
      </c>
      <c r="L56" s="0" t="n">
        <v>168</v>
      </c>
      <c r="M56" s="0" t="n">
        <v>0</v>
      </c>
      <c r="N56" s="0" t="n">
        <v>8</v>
      </c>
      <c r="O56" s="0" t="n">
        <v>219</v>
      </c>
      <c r="P56" s="0" t="n">
        <v>42</v>
      </c>
      <c r="Q56" s="114" t="n">
        <v>69</v>
      </c>
      <c r="R56" s="144" t="n">
        <v>186</v>
      </c>
      <c r="S56" s="114" t="n">
        <v>1.2</v>
      </c>
      <c r="T56" s="114" t="n">
        <v>1.45</v>
      </c>
      <c r="U56" s="114" t="n">
        <v>0.8</v>
      </c>
      <c r="V56" s="114" t="n">
        <v>0</v>
      </c>
      <c r="W56" s="0" t="s">
        <v>640</v>
      </c>
      <c r="X56" s="114" t="s">
        <v>58</v>
      </c>
      <c r="Y56" s="114" t="s">
        <v>58</v>
      </c>
      <c r="Z56" s="114" t="s">
        <v>58</v>
      </c>
      <c r="AA56" s="0" t="s">
        <v>641</v>
      </c>
      <c r="AB56" s="0" t="s">
        <v>555</v>
      </c>
      <c r="AC56" s="0" t="s">
        <v>642</v>
      </c>
      <c r="AD56" s="0" t="s">
        <v>58</v>
      </c>
      <c r="AE56" s="0" t="s">
        <v>643</v>
      </c>
      <c r="AF56" s="0" t="s">
        <v>557</v>
      </c>
      <c r="AG56" s="0" t="s">
        <v>464</v>
      </c>
      <c r="AH56" s="0" t="s">
        <v>58</v>
      </c>
    </row>
    <row r="57" customFormat="false" ht="14.4" hidden="false" customHeight="false" outlineLevel="0" collapsed="false">
      <c r="A57" s="0" t="n">
        <v>92</v>
      </c>
      <c r="B57" s="0" t="s">
        <v>645</v>
      </c>
      <c r="C57" s="0" t="s">
        <v>471</v>
      </c>
      <c r="D57" s="0" t="s">
        <v>472</v>
      </c>
      <c r="E57" s="0" t="s">
        <v>459</v>
      </c>
      <c r="F57" s="0" t="n">
        <v>1402</v>
      </c>
      <c r="G57" s="0" t="s">
        <v>138</v>
      </c>
      <c r="H57" s="0" t="n">
        <v>195</v>
      </c>
      <c r="I57" s="0" t="n">
        <v>72</v>
      </c>
      <c r="J57" s="0" t="n">
        <v>357</v>
      </c>
      <c r="K57" s="0" t="n">
        <v>209</v>
      </c>
      <c r="L57" s="0" t="n">
        <v>154</v>
      </c>
      <c r="M57" s="0" t="n">
        <v>0</v>
      </c>
      <c r="N57" s="0" t="n">
        <v>8</v>
      </c>
      <c r="O57" s="0" t="n">
        <v>218</v>
      </c>
      <c r="P57" s="0" t="n">
        <v>42</v>
      </c>
      <c r="Q57" s="114" t="n">
        <v>68</v>
      </c>
      <c r="R57" s="144" t="n">
        <v>180</v>
      </c>
      <c r="S57" s="114" t="n">
        <v>1.2</v>
      </c>
      <c r="T57" s="114" t="n">
        <v>1.35</v>
      </c>
      <c r="U57" s="114" t="n">
        <v>1.05</v>
      </c>
      <c r="V57" s="114" t="n">
        <v>0</v>
      </c>
      <c r="W57" s="0" t="s">
        <v>646</v>
      </c>
      <c r="X57" s="114" t="s">
        <v>58</v>
      </c>
      <c r="Y57" s="114" t="s">
        <v>58</v>
      </c>
      <c r="Z57" s="114" t="s">
        <v>58</v>
      </c>
      <c r="AA57" s="0" t="s">
        <v>555</v>
      </c>
      <c r="AB57" s="0" t="s">
        <v>647</v>
      </c>
      <c r="AC57" s="0" t="s">
        <v>58</v>
      </c>
      <c r="AD57" s="0" t="s">
        <v>58</v>
      </c>
      <c r="AE57" s="0" t="s">
        <v>557</v>
      </c>
      <c r="AF57" s="0" t="s">
        <v>464</v>
      </c>
      <c r="AG57" s="0" t="s">
        <v>58</v>
      </c>
      <c r="AH57" s="0" t="s">
        <v>58</v>
      </c>
    </row>
    <row r="58" customFormat="false" ht="14.4" hidden="false" customHeight="false" outlineLevel="0" collapsed="false">
      <c r="A58" s="0" t="n">
        <v>3092</v>
      </c>
      <c r="B58" s="0" t="s">
        <v>648</v>
      </c>
      <c r="C58" s="0" t="s">
        <v>471</v>
      </c>
      <c r="D58" s="0" t="s">
        <v>438</v>
      </c>
      <c r="E58" s="0" t="s">
        <v>459</v>
      </c>
      <c r="F58" s="0" t="n">
        <v>1567</v>
      </c>
      <c r="G58" s="0" t="s">
        <v>138</v>
      </c>
      <c r="H58" s="0" t="n">
        <v>195</v>
      </c>
      <c r="I58" s="0" t="n">
        <v>107</v>
      </c>
      <c r="J58" s="0" t="n">
        <v>357</v>
      </c>
      <c r="K58" s="0" t="n">
        <v>249</v>
      </c>
      <c r="L58" s="0" t="n">
        <v>169</v>
      </c>
      <c r="M58" s="0" t="n">
        <v>0</v>
      </c>
      <c r="N58" s="0" t="n">
        <v>8</v>
      </c>
      <c r="O58" s="0" t="n">
        <v>218</v>
      </c>
      <c r="P58" s="0" t="n">
        <v>45</v>
      </c>
      <c r="Q58" s="114" t="n">
        <v>68</v>
      </c>
      <c r="R58" s="144" t="n">
        <v>180</v>
      </c>
      <c r="S58" s="114" t="n">
        <v>1.25</v>
      </c>
      <c r="T58" s="114" t="n">
        <v>1.35</v>
      </c>
      <c r="U58" s="114" t="n">
        <v>1.1</v>
      </c>
      <c r="V58" s="114" t="n">
        <v>0</v>
      </c>
      <c r="W58" s="0" t="s">
        <v>646</v>
      </c>
      <c r="X58" s="114" t="s">
        <v>58</v>
      </c>
      <c r="Y58" s="114" t="s">
        <v>58</v>
      </c>
      <c r="Z58" s="114" t="s">
        <v>58</v>
      </c>
      <c r="AA58" s="0" t="s">
        <v>555</v>
      </c>
      <c r="AB58" s="0" t="s">
        <v>649</v>
      </c>
      <c r="AC58" s="0" t="s">
        <v>647</v>
      </c>
      <c r="AD58" s="0" t="s">
        <v>58</v>
      </c>
      <c r="AE58" s="0" t="s">
        <v>557</v>
      </c>
      <c r="AF58" s="0" t="s">
        <v>650</v>
      </c>
      <c r="AG58" s="0" t="s">
        <v>464</v>
      </c>
      <c r="AH58" s="0" t="s">
        <v>58</v>
      </c>
    </row>
    <row r="59" customFormat="false" ht="14.4" hidden="false" customHeight="false" outlineLevel="0" collapsed="false">
      <c r="A59" s="0" t="n">
        <v>91</v>
      </c>
      <c r="B59" s="0" t="s">
        <v>651</v>
      </c>
      <c r="C59" s="0" t="s">
        <v>471</v>
      </c>
      <c r="D59" s="0" t="s">
        <v>527</v>
      </c>
      <c r="E59" s="0" t="s">
        <v>459</v>
      </c>
      <c r="F59" s="0" t="n">
        <v>1373</v>
      </c>
      <c r="G59" s="0" t="s">
        <v>138</v>
      </c>
      <c r="H59" s="0" t="n">
        <v>192</v>
      </c>
      <c r="I59" s="0" t="n">
        <v>71</v>
      </c>
      <c r="J59" s="0" t="n">
        <v>350</v>
      </c>
      <c r="K59" s="0" t="n">
        <v>209</v>
      </c>
      <c r="L59" s="0" t="n">
        <v>150</v>
      </c>
      <c r="M59" s="0" t="n">
        <v>0</v>
      </c>
      <c r="N59" s="0" t="n">
        <v>7</v>
      </c>
      <c r="O59" s="0" t="n">
        <v>213</v>
      </c>
      <c r="P59" s="0" t="n">
        <v>42</v>
      </c>
      <c r="Q59" s="114" t="n">
        <v>68</v>
      </c>
      <c r="R59" s="144" t="n">
        <v>180</v>
      </c>
      <c r="S59" s="114" t="n">
        <v>1.2</v>
      </c>
      <c r="T59" s="114" t="n">
        <v>1.35</v>
      </c>
      <c r="U59" s="114" t="n">
        <v>1.05</v>
      </c>
      <c r="V59" s="114" t="n">
        <v>0</v>
      </c>
      <c r="W59" s="0" t="s">
        <v>646</v>
      </c>
      <c r="X59" s="114" t="s">
        <v>58</v>
      </c>
      <c r="Y59" s="114" t="s">
        <v>58</v>
      </c>
      <c r="Z59" s="114" t="s">
        <v>58</v>
      </c>
      <c r="AA59" s="0" t="s">
        <v>652</v>
      </c>
      <c r="AB59" s="0" t="s">
        <v>647</v>
      </c>
      <c r="AC59" s="0" t="s">
        <v>58</v>
      </c>
      <c r="AD59" s="0" t="s">
        <v>58</v>
      </c>
      <c r="AE59" s="0" t="s">
        <v>653</v>
      </c>
      <c r="AF59" s="0" t="s">
        <v>464</v>
      </c>
      <c r="AG59" s="0" t="s">
        <v>58</v>
      </c>
      <c r="AH59" s="0" t="s">
        <v>58</v>
      </c>
    </row>
    <row r="60" customFormat="false" ht="14.4" hidden="false" customHeight="false" outlineLevel="0" collapsed="false">
      <c r="A60" s="0" t="n">
        <v>3091</v>
      </c>
      <c r="B60" s="0" t="s">
        <v>654</v>
      </c>
      <c r="C60" s="0" t="s">
        <v>471</v>
      </c>
      <c r="D60" s="0" t="s">
        <v>472</v>
      </c>
      <c r="E60" s="0" t="s">
        <v>459</v>
      </c>
      <c r="F60" s="0" t="n">
        <v>1538</v>
      </c>
      <c r="G60" s="0" t="s">
        <v>138</v>
      </c>
      <c r="H60" s="0" t="n">
        <v>192</v>
      </c>
      <c r="I60" s="0" t="n">
        <v>106</v>
      </c>
      <c r="J60" s="0" t="n">
        <v>350</v>
      </c>
      <c r="K60" s="0" t="n">
        <v>249</v>
      </c>
      <c r="L60" s="0" t="n">
        <v>165</v>
      </c>
      <c r="M60" s="0" t="n">
        <v>0</v>
      </c>
      <c r="N60" s="0" t="n">
        <v>7</v>
      </c>
      <c r="O60" s="0" t="n">
        <v>213</v>
      </c>
      <c r="P60" s="0" t="n">
        <v>45</v>
      </c>
      <c r="Q60" s="114" t="n">
        <v>68</v>
      </c>
      <c r="R60" s="144" t="n">
        <v>180</v>
      </c>
      <c r="S60" s="114" t="n">
        <v>1.25</v>
      </c>
      <c r="T60" s="114" t="n">
        <v>1.35</v>
      </c>
      <c r="U60" s="114" t="n">
        <v>1.1</v>
      </c>
      <c r="V60" s="114" t="n">
        <v>0</v>
      </c>
      <c r="W60" s="0" t="s">
        <v>646</v>
      </c>
      <c r="X60" s="114" t="s">
        <v>58</v>
      </c>
      <c r="Y60" s="114" t="s">
        <v>58</v>
      </c>
      <c r="Z60" s="114" t="s">
        <v>58</v>
      </c>
      <c r="AA60" s="0" t="s">
        <v>652</v>
      </c>
      <c r="AB60" s="0" t="s">
        <v>655</v>
      </c>
      <c r="AC60" s="0" t="s">
        <v>647</v>
      </c>
      <c r="AD60" s="0" t="s">
        <v>58</v>
      </c>
      <c r="AE60" s="0" t="s">
        <v>653</v>
      </c>
      <c r="AF60" s="0" t="s">
        <v>650</v>
      </c>
      <c r="AG60" s="0" t="s">
        <v>464</v>
      </c>
      <c r="AH60" s="0" t="s">
        <v>58</v>
      </c>
    </row>
    <row r="61" customFormat="false" ht="14.4" hidden="false" customHeight="false" outlineLevel="0" collapsed="false">
      <c r="A61" s="0" t="n">
        <v>254</v>
      </c>
      <c r="B61" s="0" t="s">
        <v>656</v>
      </c>
      <c r="C61" s="0" t="s">
        <v>497</v>
      </c>
      <c r="D61" s="0" t="s">
        <v>438</v>
      </c>
      <c r="E61" s="0" t="s">
        <v>459</v>
      </c>
      <c r="F61" s="0" t="n">
        <v>2277</v>
      </c>
      <c r="G61" s="0" t="s">
        <v>138</v>
      </c>
      <c r="H61" s="0" t="n">
        <v>201</v>
      </c>
      <c r="I61" s="0" t="n">
        <v>128</v>
      </c>
      <c r="J61" s="0" t="n">
        <v>231</v>
      </c>
      <c r="K61" s="0" t="n">
        <v>165</v>
      </c>
      <c r="L61" s="0" t="n">
        <v>174</v>
      </c>
      <c r="M61" s="0" t="n">
        <v>0</v>
      </c>
      <c r="N61" s="0" t="n">
        <v>9</v>
      </c>
      <c r="O61" s="0" t="n">
        <v>200</v>
      </c>
      <c r="P61" s="0" t="n">
        <v>45</v>
      </c>
      <c r="Q61" s="114" t="n">
        <v>51</v>
      </c>
      <c r="R61" s="144" t="n">
        <v>186</v>
      </c>
      <c r="S61" s="114" t="n">
        <v>1.55</v>
      </c>
      <c r="T61" s="114" t="n">
        <v>1</v>
      </c>
      <c r="U61" s="114" t="n">
        <v>1.05</v>
      </c>
      <c r="V61" s="114" t="n">
        <v>0</v>
      </c>
      <c r="W61" s="0" t="s">
        <v>498</v>
      </c>
      <c r="X61" s="0" t="s">
        <v>499</v>
      </c>
      <c r="Y61" s="114" t="s">
        <v>58</v>
      </c>
      <c r="Z61" s="114" t="s">
        <v>58</v>
      </c>
      <c r="AA61" s="0" t="s">
        <v>657</v>
      </c>
      <c r="AB61" s="0" t="s">
        <v>586</v>
      </c>
      <c r="AC61" s="0" t="s">
        <v>58</v>
      </c>
      <c r="AD61" s="0" t="s">
        <v>58</v>
      </c>
      <c r="AE61" s="0" t="s">
        <v>658</v>
      </c>
      <c r="AF61" s="0" t="s">
        <v>464</v>
      </c>
      <c r="AG61" s="0" t="s">
        <v>58</v>
      </c>
      <c r="AH61" s="0" t="s">
        <v>58</v>
      </c>
    </row>
    <row r="62" customFormat="false" ht="14.4" hidden="false" customHeight="false" outlineLevel="0" collapsed="false">
      <c r="A62" s="0" t="n">
        <v>151</v>
      </c>
      <c r="B62" s="0" t="s">
        <v>659</v>
      </c>
      <c r="C62" s="0" t="s">
        <v>429</v>
      </c>
      <c r="D62" s="0" t="s">
        <v>438</v>
      </c>
      <c r="E62" s="0" t="s">
        <v>459</v>
      </c>
      <c r="F62" s="0" t="n">
        <v>1798</v>
      </c>
      <c r="G62" s="0" t="s">
        <v>138</v>
      </c>
      <c r="H62" s="0" t="n">
        <v>213</v>
      </c>
      <c r="I62" s="0" t="n">
        <v>62</v>
      </c>
      <c r="J62" s="0" t="n">
        <v>508</v>
      </c>
      <c r="K62" s="0" t="n">
        <v>191</v>
      </c>
      <c r="L62" s="0" t="n">
        <v>146</v>
      </c>
      <c r="M62" s="0" t="n">
        <v>0</v>
      </c>
      <c r="N62" s="0" t="n">
        <v>9</v>
      </c>
      <c r="O62" s="0" t="n">
        <v>195</v>
      </c>
      <c r="P62" s="0" t="n">
        <v>45</v>
      </c>
      <c r="Q62" s="114" t="n">
        <v>34</v>
      </c>
      <c r="R62" s="144" t="n">
        <v>183</v>
      </c>
      <c r="S62" s="114" t="n">
        <v>0.75</v>
      </c>
      <c r="T62" s="114" t="n">
        <v>1.6</v>
      </c>
      <c r="U62" s="114" t="n">
        <v>0.75</v>
      </c>
      <c r="V62" s="114" t="n">
        <v>0</v>
      </c>
      <c r="W62" s="0" t="s">
        <v>660</v>
      </c>
      <c r="X62" s="114" t="s">
        <v>58</v>
      </c>
      <c r="Y62" s="114" t="s">
        <v>58</v>
      </c>
      <c r="Z62" s="114" t="s">
        <v>58</v>
      </c>
      <c r="AA62" s="0" t="s">
        <v>661</v>
      </c>
      <c r="AB62" s="0" t="s">
        <v>662</v>
      </c>
      <c r="AC62" s="0" t="s">
        <v>58</v>
      </c>
      <c r="AD62" s="0" t="s">
        <v>58</v>
      </c>
      <c r="AE62" s="0" t="s">
        <v>663</v>
      </c>
      <c r="AF62" s="0" t="s">
        <v>464</v>
      </c>
      <c r="AG62" s="0" t="s">
        <v>58</v>
      </c>
      <c r="AH62" s="0" t="s">
        <v>58</v>
      </c>
    </row>
    <row r="63" customFormat="false" ht="14.4" hidden="false" customHeight="false" outlineLevel="0" collapsed="false">
      <c r="A63" s="0" t="n">
        <v>277</v>
      </c>
      <c r="B63" s="0" t="s">
        <v>664</v>
      </c>
      <c r="C63" s="0" t="s">
        <v>429</v>
      </c>
      <c r="D63" s="0" t="s">
        <v>472</v>
      </c>
      <c r="E63" s="0" t="s">
        <v>459</v>
      </c>
      <c r="F63" s="0" t="n">
        <v>1516</v>
      </c>
      <c r="G63" s="0" t="s">
        <v>138</v>
      </c>
      <c r="H63" s="0" t="n">
        <v>201</v>
      </c>
      <c r="I63" s="0" t="n">
        <v>60</v>
      </c>
      <c r="J63" s="0" t="n">
        <v>438</v>
      </c>
      <c r="K63" s="0" t="n">
        <v>193</v>
      </c>
      <c r="L63" s="0" t="n">
        <v>128</v>
      </c>
      <c r="M63" s="0" t="n">
        <v>0</v>
      </c>
      <c r="N63" s="0" t="n">
        <v>8</v>
      </c>
      <c r="O63" s="0" t="n">
        <v>184</v>
      </c>
      <c r="P63" s="0" t="n">
        <v>44</v>
      </c>
      <c r="Q63" s="114" t="n">
        <v>27</v>
      </c>
      <c r="R63" s="144" t="n">
        <v>178</v>
      </c>
      <c r="S63" s="114" t="n">
        <v>0.75</v>
      </c>
      <c r="T63" s="114" t="n">
        <v>1.45</v>
      </c>
      <c r="U63" s="114" t="n">
        <v>0.75</v>
      </c>
      <c r="V63" s="114" t="n">
        <v>0</v>
      </c>
      <c r="W63" s="114" t="s">
        <v>665</v>
      </c>
      <c r="X63" s="114" t="s">
        <v>58</v>
      </c>
      <c r="Y63" s="114" t="s">
        <v>58</v>
      </c>
      <c r="Z63" s="114" t="s">
        <v>58</v>
      </c>
      <c r="AA63" s="0" t="s">
        <v>529</v>
      </c>
      <c r="AB63" s="0" t="s">
        <v>666</v>
      </c>
      <c r="AC63" s="0" t="s">
        <v>58</v>
      </c>
      <c r="AD63" s="0" t="s">
        <v>58</v>
      </c>
      <c r="AE63" s="0" t="s">
        <v>531</v>
      </c>
      <c r="AF63" s="0" t="s">
        <v>464</v>
      </c>
      <c r="AG63" s="0" t="s">
        <v>58</v>
      </c>
      <c r="AH63" s="0" t="s">
        <v>58</v>
      </c>
    </row>
    <row r="64" customFormat="false" ht="14.4" hidden="false" customHeight="false" outlineLevel="0" collapsed="false">
      <c r="A64" s="0" t="n">
        <v>94</v>
      </c>
      <c r="B64" s="0" t="s">
        <v>667</v>
      </c>
      <c r="C64" s="0" t="s">
        <v>471</v>
      </c>
      <c r="D64" s="0" t="s">
        <v>438</v>
      </c>
      <c r="E64" s="0" t="s">
        <v>459</v>
      </c>
      <c r="F64" s="0" t="n">
        <v>1412</v>
      </c>
      <c r="G64" s="0" t="s">
        <v>138</v>
      </c>
      <c r="H64" s="0" t="n">
        <v>201</v>
      </c>
      <c r="I64" s="0" t="n">
        <v>79</v>
      </c>
      <c r="J64" s="0" t="n">
        <v>370</v>
      </c>
      <c r="K64" s="0" t="n">
        <v>210</v>
      </c>
      <c r="L64" s="0" t="n">
        <v>164</v>
      </c>
      <c r="M64" s="0" t="n">
        <v>0</v>
      </c>
      <c r="N64" s="0" t="n">
        <v>9</v>
      </c>
      <c r="O64" s="0" t="n">
        <v>215</v>
      </c>
      <c r="P64" s="0" t="n">
        <v>43</v>
      </c>
      <c r="Q64" s="114" t="n">
        <v>36</v>
      </c>
      <c r="R64" s="144" t="n">
        <v>186</v>
      </c>
      <c r="S64" s="114" t="n">
        <v>1.3</v>
      </c>
      <c r="T64" s="114" t="n">
        <v>1.35</v>
      </c>
      <c r="U64" s="114" t="n">
        <v>1.05</v>
      </c>
      <c r="V64" s="114" t="n">
        <v>0</v>
      </c>
      <c r="W64" s="0" t="s">
        <v>668</v>
      </c>
      <c r="X64" s="114" t="s">
        <v>58</v>
      </c>
      <c r="Y64" s="114" t="s">
        <v>58</v>
      </c>
      <c r="Z64" s="114" t="s">
        <v>58</v>
      </c>
      <c r="AA64" s="0" t="s">
        <v>669</v>
      </c>
      <c r="AB64" s="0" t="s">
        <v>555</v>
      </c>
      <c r="AC64" s="0" t="s">
        <v>670</v>
      </c>
      <c r="AD64" s="0" t="s">
        <v>58</v>
      </c>
      <c r="AE64" s="0" t="s">
        <v>671</v>
      </c>
      <c r="AF64" s="0" t="s">
        <v>557</v>
      </c>
      <c r="AG64" s="0" t="s">
        <v>464</v>
      </c>
      <c r="AH64" s="0" t="s">
        <v>58</v>
      </c>
    </row>
    <row r="65" customFormat="false" ht="14.4" hidden="false" customHeight="false" outlineLevel="0" collapsed="false">
      <c r="A65" s="0" t="n">
        <v>93</v>
      </c>
      <c r="B65" s="0" t="s">
        <v>672</v>
      </c>
      <c r="C65" s="0" t="s">
        <v>471</v>
      </c>
      <c r="D65" s="0" t="s">
        <v>438</v>
      </c>
      <c r="E65" s="0" t="s">
        <v>459</v>
      </c>
      <c r="F65" s="0" t="n">
        <v>1518</v>
      </c>
      <c r="G65" s="0" t="s">
        <v>138</v>
      </c>
      <c r="H65" s="0" t="n">
        <v>201</v>
      </c>
      <c r="I65" s="0" t="n">
        <v>85</v>
      </c>
      <c r="J65" s="0" t="n">
        <v>346</v>
      </c>
      <c r="K65" s="0" t="n">
        <v>210</v>
      </c>
      <c r="L65" s="0" t="n">
        <v>164</v>
      </c>
      <c r="M65" s="0" t="n">
        <v>0</v>
      </c>
      <c r="N65" s="0" t="n">
        <v>9</v>
      </c>
      <c r="O65" s="0" t="n">
        <v>215</v>
      </c>
      <c r="P65" s="0" t="n">
        <v>43</v>
      </c>
      <c r="Q65" s="114" t="n">
        <v>32</v>
      </c>
      <c r="R65" s="144" t="n">
        <v>184</v>
      </c>
      <c r="S65" s="114" t="n">
        <v>1.35</v>
      </c>
      <c r="T65" s="114" t="n">
        <v>1.3</v>
      </c>
      <c r="U65" s="114" t="n">
        <v>1.05</v>
      </c>
      <c r="V65" s="114" t="n">
        <v>0</v>
      </c>
      <c r="W65" s="0" t="s">
        <v>673</v>
      </c>
      <c r="X65" s="114" t="s">
        <v>58</v>
      </c>
      <c r="Y65" s="114" t="s">
        <v>58</v>
      </c>
      <c r="Z65" s="114" t="s">
        <v>58</v>
      </c>
      <c r="AA65" s="0" t="s">
        <v>674</v>
      </c>
      <c r="AB65" s="0" t="s">
        <v>555</v>
      </c>
      <c r="AC65" s="0" t="s">
        <v>675</v>
      </c>
      <c r="AD65" s="0" t="s">
        <v>58</v>
      </c>
      <c r="AE65" s="0" t="s">
        <v>676</v>
      </c>
      <c r="AF65" s="0" t="s">
        <v>557</v>
      </c>
      <c r="AG65" s="0" t="s">
        <v>464</v>
      </c>
      <c r="AH65" s="0" t="s">
        <v>58</v>
      </c>
    </row>
    <row r="66" customFormat="false" ht="15" hidden="false" customHeight="true" outlineLevel="0" collapsed="false">
      <c r="A66" s="0" t="n">
        <v>7</v>
      </c>
      <c r="B66" s="0" t="s">
        <v>677</v>
      </c>
      <c r="C66" s="0" t="s">
        <v>437</v>
      </c>
      <c r="D66" s="0" t="s">
        <v>472</v>
      </c>
      <c r="E66" s="0" t="s">
        <v>459</v>
      </c>
      <c r="F66" s="0" t="n">
        <v>1810</v>
      </c>
      <c r="G66" s="0" t="s">
        <v>138</v>
      </c>
      <c r="H66" s="0" t="n">
        <v>201</v>
      </c>
      <c r="I66" s="0" t="n">
        <v>73</v>
      </c>
      <c r="J66" s="0" t="n">
        <v>438</v>
      </c>
      <c r="K66" s="0" t="n">
        <v>163</v>
      </c>
      <c r="L66" s="0" t="n">
        <v>174</v>
      </c>
      <c r="M66" s="0" t="n">
        <v>0</v>
      </c>
      <c r="N66" s="0" t="n">
        <v>8</v>
      </c>
      <c r="O66" s="0" t="n">
        <v>201</v>
      </c>
      <c r="P66" s="0" t="n">
        <v>46</v>
      </c>
      <c r="Q66" s="114" t="n">
        <v>72</v>
      </c>
      <c r="R66" s="144" t="n">
        <v>194</v>
      </c>
      <c r="S66" s="114" t="n">
        <v>1.15</v>
      </c>
      <c r="T66" s="114" t="n">
        <v>1.35</v>
      </c>
      <c r="U66" s="114" t="n">
        <v>1.25</v>
      </c>
      <c r="V66" s="114" t="n">
        <v>0</v>
      </c>
      <c r="W66" s="0" t="s">
        <v>606</v>
      </c>
      <c r="X66" s="114" t="s">
        <v>58</v>
      </c>
      <c r="Y66" s="114" t="s">
        <v>58</v>
      </c>
      <c r="Z66" s="114" t="s">
        <v>58</v>
      </c>
      <c r="AA66" s="0" t="s">
        <v>595</v>
      </c>
      <c r="AB66" s="0" t="s">
        <v>518</v>
      </c>
      <c r="AC66" s="0" t="s">
        <v>678</v>
      </c>
      <c r="AD66" s="0" t="s">
        <v>58</v>
      </c>
      <c r="AE66" s="0" t="s">
        <v>597</v>
      </c>
      <c r="AF66" s="0" t="s">
        <v>520</v>
      </c>
      <c r="AG66" s="0" t="s">
        <v>464</v>
      </c>
      <c r="AH66" s="0" t="s">
        <v>58</v>
      </c>
    </row>
    <row r="67" customFormat="false" ht="14.4" hidden="false" customHeight="false" outlineLevel="0" collapsed="false">
      <c r="A67" s="0" t="n">
        <v>431</v>
      </c>
      <c r="B67" s="0" t="s">
        <v>679</v>
      </c>
      <c r="C67" s="0" t="s">
        <v>680</v>
      </c>
      <c r="D67" s="0" t="s">
        <v>438</v>
      </c>
      <c r="E67" s="0" t="s">
        <v>74</v>
      </c>
      <c r="F67" s="0" t="n">
        <v>2495</v>
      </c>
      <c r="G67" s="0" t="s">
        <v>138</v>
      </c>
      <c r="H67" s="0" t="n">
        <v>199</v>
      </c>
      <c r="I67" s="0" t="n">
        <v>124</v>
      </c>
      <c r="J67" s="0" t="n">
        <v>179</v>
      </c>
      <c r="K67" s="0" t="n">
        <v>165</v>
      </c>
      <c r="L67" s="0" t="n">
        <v>204</v>
      </c>
      <c r="M67" s="0" t="n">
        <v>0</v>
      </c>
      <c r="N67" s="0" t="n">
        <v>8</v>
      </c>
      <c r="O67" s="0" t="n">
        <v>199</v>
      </c>
      <c r="P67" s="0" t="n">
        <v>45</v>
      </c>
      <c r="Q67" s="0" t="n">
        <v>60</v>
      </c>
      <c r="R67" s="116" t="n">
        <v>183</v>
      </c>
      <c r="S67" s="114" t="n">
        <v>1.55</v>
      </c>
      <c r="T67" s="114" t="n">
        <v>1</v>
      </c>
      <c r="U67" s="114" t="n">
        <v>1.1</v>
      </c>
      <c r="V67" s="114" t="n">
        <v>0</v>
      </c>
      <c r="W67" s="114" t="s">
        <v>681</v>
      </c>
      <c r="X67" s="114" t="s">
        <v>58</v>
      </c>
      <c r="Y67" s="114" t="s">
        <v>58</v>
      </c>
      <c r="Z67" s="114" t="s">
        <v>58</v>
      </c>
      <c r="AA67" s="114" t="s">
        <v>682</v>
      </c>
      <c r="AB67" s="114" t="s">
        <v>683</v>
      </c>
      <c r="AC67" s="114" t="s">
        <v>684</v>
      </c>
      <c r="AD67" s="0" t="s">
        <v>58</v>
      </c>
      <c r="AE67" s="114" t="s">
        <v>592</v>
      </c>
      <c r="AF67" s="114" t="s">
        <v>685</v>
      </c>
      <c r="AG67" s="114" t="s">
        <v>464</v>
      </c>
      <c r="AH67" s="0" t="s">
        <v>58</v>
      </c>
    </row>
    <row r="68" customFormat="false" ht="14.4" hidden="false" customHeight="false" outlineLevel="0" collapsed="false">
      <c r="A68" s="0" t="n">
        <v>427</v>
      </c>
      <c r="B68" s="0" t="s">
        <v>686</v>
      </c>
      <c r="C68" s="0" t="s">
        <v>437</v>
      </c>
      <c r="D68" s="0" t="s">
        <v>472</v>
      </c>
      <c r="E68" s="0" t="s">
        <v>74</v>
      </c>
      <c r="F68" s="0" t="n">
        <v>2095</v>
      </c>
      <c r="G68" s="0" t="s">
        <v>138</v>
      </c>
      <c r="H68" s="0" t="n">
        <v>203</v>
      </c>
      <c r="I68" s="0" t="n">
        <v>80</v>
      </c>
      <c r="J68" s="0" t="n">
        <v>280</v>
      </c>
      <c r="K68" s="0" t="n">
        <v>160</v>
      </c>
      <c r="L68" s="0" t="n">
        <v>219</v>
      </c>
      <c r="M68" s="0" t="n">
        <v>0</v>
      </c>
      <c r="N68" s="0" t="n">
        <v>8</v>
      </c>
      <c r="O68" s="0" t="n">
        <v>213</v>
      </c>
      <c r="P68" s="0" t="n">
        <v>42</v>
      </c>
      <c r="Q68" s="0" t="n">
        <v>55</v>
      </c>
      <c r="R68" s="116" t="n">
        <v>197</v>
      </c>
      <c r="S68" s="114" t="n">
        <v>1.2</v>
      </c>
      <c r="T68" s="114" t="n">
        <v>1.3</v>
      </c>
      <c r="U68" s="114" t="n">
        <v>1.35</v>
      </c>
      <c r="V68" s="114" t="n">
        <v>0</v>
      </c>
      <c r="W68" s="114" t="s">
        <v>528</v>
      </c>
      <c r="X68" s="114" t="s">
        <v>58</v>
      </c>
      <c r="Y68" s="114" t="s">
        <v>58</v>
      </c>
      <c r="Z68" s="114" t="s">
        <v>58</v>
      </c>
      <c r="AA68" s="114" t="s">
        <v>687</v>
      </c>
      <c r="AB68" s="114" t="s">
        <v>688</v>
      </c>
      <c r="AC68" s="0" t="s">
        <v>58</v>
      </c>
      <c r="AD68" s="0" t="s">
        <v>58</v>
      </c>
      <c r="AE68" s="114" t="s">
        <v>689</v>
      </c>
      <c r="AF68" s="0" t="s">
        <v>464</v>
      </c>
      <c r="AG68" s="0" t="s">
        <v>58</v>
      </c>
      <c r="AH68" s="0" t="s">
        <v>58</v>
      </c>
    </row>
    <row r="69" customFormat="false" ht="14.4" hidden="false" customHeight="false" outlineLevel="0" collapsed="false">
      <c r="A69" s="0" t="n">
        <v>318</v>
      </c>
      <c r="B69" s="0" t="s">
        <v>690</v>
      </c>
      <c r="C69" s="0" t="s">
        <v>429</v>
      </c>
      <c r="D69" s="0" t="s">
        <v>472</v>
      </c>
      <c r="E69" s="0" t="s">
        <v>459</v>
      </c>
      <c r="F69" s="0" t="n">
        <v>2083</v>
      </c>
      <c r="G69" s="0" t="s">
        <v>138</v>
      </c>
      <c r="H69" s="0" t="n">
        <v>201</v>
      </c>
      <c r="I69" s="0" t="n">
        <v>65</v>
      </c>
      <c r="J69" s="0" t="n">
        <v>512</v>
      </c>
      <c r="K69" s="0" t="n">
        <v>191</v>
      </c>
      <c r="L69" s="0" t="n">
        <v>150</v>
      </c>
      <c r="M69" s="0" t="n">
        <v>0</v>
      </c>
      <c r="N69" s="0" t="n">
        <v>8</v>
      </c>
      <c r="O69" s="0" t="n">
        <v>187</v>
      </c>
      <c r="P69" s="0" t="n">
        <v>42</v>
      </c>
      <c r="Q69" s="114" t="n">
        <v>58</v>
      </c>
      <c r="R69" s="144" t="n">
        <v>184</v>
      </c>
      <c r="S69" s="114" t="n">
        <v>0.75</v>
      </c>
      <c r="T69" s="114" t="n">
        <v>1.5</v>
      </c>
      <c r="U69" s="114" t="n">
        <v>0.75</v>
      </c>
      <c r="V69" s="114" t="n">
        <v>0</v>
      </c>
      <c r="W69" s="152" t="s">
        <v>691</v>
      </c>
      <c r="X69" s="114" t="s">
        <v>58</v>
      </c>
      <c r="Y69" s="114" t="s">
        <v>58</v>
      </c>
      <c r="Z69" s="114" t="s">
        <v>58</v>
      </c>
      <c r="AA69" s="0" t="s">
        <v>692</v>
      </c>
      <c r="AB69" s="0" t="s">
        <v>693</v>
      </c>
      <c r="AC69" s="0" t="s">
        <v>58</v>
      </c>
      <c r="AD69" s="0" t="s">
        <v>58</v>
      </c>
      <c r="AE69" s="0" t="s">
        <v>694</v>
      </c>
      <c r="AF69" s="0" t="s">
        <v>464</v>
      </c>
      <c r="AG69" s="0" t="s">
        <v>58</v>
      </c>
      <c r="AH69" s="0" t="s">
        <v>58</v>
      </c>
    </row>
    <row r="70" customFormat="false" ht="14.4" hidden="false" customHeight="false" outlineLevel="0" collapsed="false">
      <c r="A70" s="0" t="n">
        <v>3318</v>
      </c>
      <c r="B70" s="0" t="s">
        <v>695</v>
      </c>
      <c r="C70" s="0" t="s">
        <v>429</v>
      </c>
      <c r="D70" s="0" t="s">
        <v>438</v>
      </c>
      <c r="E70" s="0" t="s">
        <v>459</v>
      </c>
      <c r="F70" s="0" t="n">
        <v>2143</v>
      </c>
      <c r="G70" s="0" t="s">
        <v>138</v>
      </c>
      <c r="H70" s="0" t="n">
        <v>201</v>
      </c>
      <c r="I70" s="0" t="n">
        <v>75</v>
      </c>
      <c r="J70" s="0" t="n">
        <v>572</v>
      </c>
      <c r="K70" s="0" t="n">
        <v>211</v>
      </c>
      <c r="L70" s="0" t="n">
        <v>150</v>
      </c>
      <c r="M70" s="0" t="n">
        <v>0</v>
      </c>
      <c r="N70" s="0" t="n">
        <v>8</v>
      </c>
      <c r="O70" s="0" t="n">
        <v>187</v>
      </c>
      <c r="P70" s="0" t="n">
        <v>45</v>
      </c>
      <c r="Q70" s="114" t="n">
        <v>58</v>
      </c>
      <c r="R70" s="144" t="n">
        <v>184</v>
      </c>
      <c r="S70" s="114" t="n">
        <v>0.8</v>
      </c>
      <c r="T70" s="114" t="n">
        <v>1.65</v>
      </c>
      <c r="U70" s="114" t="n">
        <v>0.75</v>
      </c>
      <c r="V70" s="114" t="n">
        <v>0</v>
      </c>
      <c r="W70" s="114" t="s">
        <v>691</v>
      </c>
      <c r="X70" s="114" t="s">
        <v>58</v>
      </c>
      <c r="Y70" s="114" t="s">
        <v>58</v>
      </c>
      <c r="Z70" s="114" t="s">
        <v>58</v>
      </c>
      <c r="AA70" s="0" t="s">
        <v>692</v>
      </c>
      <c r="AB70" s="0" t="s">
        <v>555</v>
      </c>
      <c r="AC70" s="0" t="s">
        <v>693</v>
      </c>
      <c r="AD70" s="0" t="s">
        <v>58</v>
      </c>
      <c r="AE70" s="0" t="s">
        <v>694</v>
      </c>
      <c r="AF70" s="0" t="s">
        <v>557</v>
      </c>
      <c r="AG70" s="0" t="s">
        <v>464</v>
      </c>
      <c r="AH70" s="0" t="s">
        <v>58</v>
      </c>
    </row>
    <row r="71" customFormat="false" ht="15" hidden="false" customHeight="true" outlineLevel="0" collapsed="false">
      <c r="A71" s="0" t="n">
        <v>27</v>
      </c>
      <c r="B71" s="0" t="s">
        <v>696</v>
      </c>
      <c r="C71" s="0" t="s">
        <v>437</v>
      </c>
      <c r="D71" s="0" t="s">
        <v>472</v>
      </c>
      <c r="E71" s="0" t="s">
        <v>459</v>
      </c>
      <c r="F71" s="0" t="n">
        <v>1815</v>
      </c>
      <c r="G71" s="0" t="s">
        <v>138</v>
      </c>
      <c r="H71" s="0" t="n">
        <v>204</v>
      </c>
      <c r="I71" s="0" t="n">
        <v>81</v>
      </c>
      <c r="J71" s="0" t="n">
        <v>286</v>
      </c>
      <c r="K71" s="0" t="n">
        <v>160</v>
      </c>
      <c r="L71" s="0" t="n">
        <v>172</v>
      </c>
      <c r="M71" s="0" t="n">
        <v>0</v>
      </c>
      <c r="N71" s="0" t="n">
        <v>8</v>
      </c>
      <c r="O71" s="0" t="n">
        <v>208</v>
      </c>
      <c r="P71" s="0" t="n">
        <v>42</v>
      </c>
      <c r="Q71" s="114" t="n">
        <v>47</v>
      </c>
      <c r="R71" s="144" t="n">
        <v>178</v>
      </c>
      <c r="S71" s="114" t="n">
        <v>1.2</v>
      </c>
      <c r="T71" s="114" t="n">
        <v>1.3</v>
      </c>
      <c r="U71" s="114" t="n">
        <v>1.3</v>
      </c>
      <c r="V71" s="114" t="n">
        <v>0</v>
      </c>
      <c r="W71" s="0" t="s">
        <v>697</v>
      </c>
      <c r="X71" s="114" t="s">
        <v>58</v>
      </c>
      <c r="Y71" s="114" t="s">
        <v>58</v>
      </c>
      <c r="Z71" s="114" t="s">
        <v>58</v>
      </c>
      <c r="AA71" s="0" t="s">
        <v>698</v>
      </c>
      <c r="AB71" s="0" t="s">
        <v>699</v>
      </c>
      <c r="AC71" s="0" t="s">
        <v>58</v>
      </c>
      <c r="AD71" s="0" t="s">
        <v>58</v>
      </c>
      <c r="AE71" s="0" t="s">
        <v>480</v>
      </c>
      <c r="AF71" s="0" t="s">
        <v>464</v>
      </c>
      <c r="AG71" s="0" t="s">
        <v>58</v>
      </c>
      <c r="AH71" s="0" t="s">
        <v>58</v>
      </c>
    </row>
    <row r="72" customFormat="false" ht="14.4" hidden="false" customHeight="false" outlineLevel="0" collapsed="false">
      <c r="A72" s="0" t="n">
        <v>3027</v>
      </c>
      <c r="B72" s="0" t="s">
        <v>700</v>
      </c>
      <c r="C72" s="0" t="s">
        <v>437</v>
      </c>
      <c r="D72" s="0" t="s">
        <v>438</v>
      </c>
      <c r="E72" s="0" t="s">
        <v>459</v>
      </c>
      <c r="F72" s="0" t="n">
        <v>2025</v>
      </c>
      <c r="G72" s="0" t="s">
        <v>138</v>
      </c>
      <c r="H72" s="0" t="n">
        <v>224</v>
      </c>
      <c r="I72" s="0" t="n">
        <v>96</v>
      </c>
      <c r="J72" s="0" t="n">
        <v>286</v>
      </c>
      <c r="K72" s="0" t="n">
        <v>160</v>
      </c>
      <c r="L72" s="0" t="n">
        <v>262</v>
      </c>
      <c r="M72" s="0" t="n">
        <v>0</v>
      </c>
      <c r="N72" s="0" t="n">
        <v>8</v>
      </c>
      <c r="O72" s="0" t="n">
        <v>208</v>
      </c>
      <c r="P72" s="0" t="n">
        <v>45</v>
      </c>
      <c r="Q72" s="114" t="n">
        <v>47</v>
      </c>
      <c r="R72" s="144" t="n">
        <v>178</v>
      </c>
      <c r="S72" s="114" t="n">
        <v>1.25</v>
      </c>
      <c r="T72" s="114" t="n">
        <v>1.3</v>
      </c>
      <c r="U72" s="114" t="n">
        <v>1.35</v>
      </c>
      <c r="V72" s="114" t="n">
        <v>0</v>
      </c>
      <c r="W72" s="0" t="s">
        <v>697</v>
      </c>
      <c r="X72" s="114" t="s">
        <v>58</v>
      </c>
      <c r="Y72" s="114" t="s">
        <v>58</v>
      </c>
      <c r="Z72" s="114" t="s">
        <v>58</v>
      </c>
      <c r="AA72" s="0" t="s">
        <v>698</v>
      </c>
      <c r="AB72" s="0" t="s">
        <v>701</v>
      </c>
      <c r="AC72" s="0" t="s">
        <v>699</v>
      </c>
      <c r="AD72" s="0" t="s">
        <v>58</v>
      </c>
      <c r="AE72" s="0" t="s">
        <v>480</v>
      </c>
      <c r="AF72" s="0" t="s">
        <v>702</v>
      </c>
      <c r="AG72" s="0" t="s">
        <v>464</v>
      </c>
      <c r="AH72" s="0" t="s">
        <v>58</v>
      </c>
    </row>
    <row r="73" customFormat="false" ht="14.4" hidden="false" customHeight="false" outlineLevel="0" collapsed="false">
      <c r="A73" s="0" t="n">
        <v>449</v>
      </c>
      <c r="B73" s="0" t="s">
        <v>703</v>
      </c>
      <c r="C73" s="0" t="s">
        <v>429</v>
      </c>
      <c r="D73" s="0" t="s">
        <v>704</v>
      </c>
      <c r="E73" s="0" t="s">
        <v>74</v>
      </c>
      <c r="F73" s="0" t="n">
        <v>2445</v>
      </c>
      <c r="G73" s="0" t="s">
        <v>138</v>
      </c>
      <c r="H73" s="0" t="n">
        <v>210</v>
      </c>
      <c r="I73" s="0" t="n">
        <v>76</v>
      </c>
      <c r="J73" s="0" t="n">
        <v>370</v>
      </c>
      <c r="K73" s="0" t="n">
        <v>179</v>
      </c>
      <c r="L73" s="0" t="n">
        <v>199</v>
      </c>
      <c r="M73" s="0" t="n">
        <v>0</v>
      </c>
      <c r="N73" s="0" t="n">
        <v>9</v>
      </c>
      <c r="O73" s="0" t="n">
        <v>200</v>
      </c>
      <c r="P73" s="0" t="n">
        <v>39</v>
      </c>
      <c r="Q73" s="0" t="n">
        <v>65</v>
      </c>
      <c r="R73" s="116" t="n">
        <v>180</v>
      </c>
      <c r="S73" s="114" t="n">
        <v>1.05</v>
      </c>
      <c r="T73" s="114" t="n">
        <v>1.35</v>
      </c>
      <c r="U73" s="114" t="n">
        <v>1.35</v>
      </c>
      <c r="V73" s="114" t="n">
        <v>0</v>
      </c>
      <c r="W73" s="114" t="s">
        <v>705</v>
      </c>
      <c r="X73" s="114" t="s">
        <v>58</v>
      </c>
      <c r="Y73" s="114" t="s">
        <v>58</v>
      </c>
      <c r="Z73" s="114" t="s">
        <v>58</v>
      </c>
      <c r="AA73" s="114" t="s">
        <v>706</v>
      </c>
      <c r="AB73" s="114" t="s">
        <v>707</v>
      </c>
      <c r="AC73" s="0" t="s">
        <v>58</v>
      </c>
      <c r="AD73" s="0" t="s">
        <v>58</v>
      </c>
      <c r="AE73" s="114" t="s">
        <v>708</v>
      </c>
      <c r="AF73" s="114" t="s">
        <v>464</v>
      </c>
      <c r="AG73" s="0" t="s">
        <v>58</v>
      </c>
      <c r="AH73" s="0" t="s">
        <v>58</v>
      </c>
    </row>
    <row r="74" customFormat="false" ht="14.4" hidden="false" customHeight="false" outlineLevel="0" collapsed="false">
      <c r="A74" s="0" t="n">
        <v>96</v>
      </c>
      <c r="B74" s="0" t="s">
        <v>709</v>
      </c>
      <c r="C74" s="0" t="s">
        <v>471</v>
      </c>
      <c r="D74" s="0" t="s">
        <v>438</v>
      </c>
      <c r="E74" s="0" t="s">
        <v>74</v>
      </c>
      <c r="F74" s="0" t="n">
        <v>1518</v>
      </c>
      <c r="G74" s="0" t="s">
        <v>138</v>
      </c>
      <c r="H74" s="0" t="n">
        <v>201</v>
      </c>
      <c r="I74" s="0" t="n">
        <v>81</v>
      </c>
      <c r="J74" s="0" t="n">
        <v>374</v>
      </c>
      <c r="K74" s="0" t="n">
        <v>210</v>
      </c>
      <c r="L74" s="0" t="n">
        <v>157</v>
      </c>
      <c r="M74" s="0" t="n">
        <v>0</v>
      </c>
      <c r="N74" s="0" t="n">
        <v>8</v>
      </c>
      <c r="O74" s="0" t="n">
        <v>192</v>
      </c>
      <c r="P74" s="0" t="n">
        <v>43</v>
      </c>
      <c r="Q74" s="114" t="n">
        <v>40</v>
      </c>
      <c r="R74" s="144" t="n">
        <v>197</v>
      </c>
      <c r="S74" s="114" t="n">
        <v>1.3</v>
      </c>
      <c r="T74" s="114" t="n">
        <v>1.35</v>
      </c>
      <c r="U74" s="114" t="n">
        <v>1.05</v>
      </c>
      <c r="V74" s="114" t="n">
        <v>0</v>
      </c>
      <c r="W74" s="0" t="s">
        <v>710</v>
      </c>
      <c r="X74" s="0" t="s">
        <v>711</v>
      </c>
      <c r="Y74" s="0" t="s">
        <v>712</v>
      </c>
      <c r="Z74" s="114" t="s">
        <v>58</v>
      </c>
      <c r="AA74" s="0" t="s">
        <v>713</v>
      </c>
      <c r="AB74" s="0" t="s">
        <v>714</v>
      </c>
      <c r="AC74" s="0" t="s">
        <v>715</v>
      </c>
      <c r="AD74" s="0" t="s">
        <v>58</v>
      </c>
      <c r="AE74" s="0" t="s">
        <v>716</v>
      </c>
      <c r="AF74" s="0" t="s">
        <v>717</v>
      </c>
      <c r="AG74" s="0" t="s">
        <v>464</v>
      </c>
      <c r="AH74" s="0" t="s">
        <v>58</v>
      </c>
    </row>
    <row r="75" customFormat="false" ht="14.4" hidden="false" customHeight="false" outlineLevel="0" collapsed="false">
      <c r="A75" s="0" t="n">
        <v>296</v>
      </c>
      <c r="B75" s="0" t="s">
        <v>718</v>
      </c>
      <c r="C75" s="0" t="s">
        <v>429</v>
      </c>
      <c r="D75" s="0" t="s">
        <v>438</v>
      </c>
      <c r="E75" s="0" t="s">
        <v>459</v>
      </c>
      <c r="F75" s="0" t="n">
        <v>2445</v>
      </c>
      <c r="G75" s="0" t="s">
        <v>138</v>
      </c>
      <c r="H75" s="0" t="n">
        <v>210</v>
      </c>
      <c r="I75" s="0" t="n">
        <v>74</v>
      </c>
      <c r="J75" s="0" t="n">
        <v>363</v>
      </c>
      <c r="K75" s="0" t="n">
        <v>179</v>
      </c>
      <c r="L75" s="0" t="n">
        <v>194</v>
      </c>
      <c r="M75" s="0" t="n">
        <v>0</v>
      </c>
      <c r="N75" s="0" t="n">
        <v>9</v>
      </c>
      <c r="O75" s="0" t="n">
        <v>207</v>
      </c>
      <c r="P75" s="0" t="n">
        <v>39</v>
      </c>
      <c r="Q75" s="114" t="n">
        <v>61</v>
      </c>
      <c r="R75" s="144" t="n">
        <v>189</v>
      </c>
      <c r="S75" s="114" t="n">
        <v>1</v>
      </c>
      <c r="T75" s="114" t="n">
        <v>1.35</v>
      </c>
      <c r="U75" s="114" t="n">
        <v>1.35</v>
      </c>
      <c r="V75" s="114" t="n">
        <v>0</v>
      </c>
      <c r="W75" s="0" t="s">
        <v>705</v>
      </c>
      <c r="X75" s="114" t="s">
        <v>58</v>
      </c>
      <c r="Y75" s="114" t="s">
        <v>58</v>
      </c>
      <c r="Z75" s="114" t="s">
        <v>58</v>
      </c>
      <c r="AA75" s="0" t="s">
        <v>719</v>
      </c>
      <c r="AB75" s="0" t="s">
        <v>707</v>
      </c>
      <c r="AC75" s="0" t="s">
        <v>58</v>
      </c>
      <c r="AD75" s="0" t="s">
        <v>58</v>
      </c>
      <c r="AE75" s="0" t="s">
        <v>708</v>
      </c>
      <c r="AF75" s="0" t="s">
        <v>464</v>
      </c>
      <c r="AG75" s="0" t="s">
        <v>58</v>
      </c>
      <c r="AH75" s="0" t="s">
        <v>58</v>
      </c>
    </row>
    <row r="76" customFormat="false" ht="14.4" hidden="false" customHeight="false" outlineLevel="0" collapsed="false">
      <c r="A76" s="0" t="n">
        <v>369</v>
      </c>
      <c r="B76" s="0" t="s">
        <v>720</v>
      </c>
      <c r="C76" s="0" t="s">
        <v>429</v>
      </c>
      <c r="D76" s="0" t="s">
        <v>472</v>
      </c>
      <c r="E76" s="0" t="s">
        <v>459</v>
      </c>
      <c r="F76" s="0" t="n">
        <v>1561</v>
      </c>
      <c r="G76" s="0" t="s">
        <v>138</v>
      </c>
      <c r="H76" s="0" t="n">
        <v>203</v>
      </c>
      <c r="I76" s="0" t="n">
        <v>60</v>
      </c>
      <c r="J76" s="0" t="n">
        <v>404</v>
      </c>
      <c r="K76" s="0" t="n">
        <v>193</v>
      </c>
      <c r="L76" s="0" t="n">
        <v>139</v>
      </c>
      <c r="M76" s="0" t="n">
        <v>0</v>
      </c>
      <c r="N76" s="0" t="n">
        <v>7</v>
      </c>
      <c r="O76" s="0" t="n">
        <v>189</v>
      </c>
      <c r="P76" s="0" t="n">
        <v>44</v>
      </c>
      <c r="Q76" s="114" t="n">
        <v>87</v>
      </c>
      <c r="R76" s="144" t="n">
        <v>183</v>
      </c>
      <c r="S76" s="114" t="n">
        <v>0.75</v>
      </c>
      <c r="T76" s="114" t="n">
        <v>1.4</v>
      </c>
      <c r="U76" s="114" t="n">
        <v>0.75</v>
      </c>
      <c r="V76" s="114" t="n">
        <v>0</v>
      </c>
      <c r="W76" s="0" t="s">
        <v>721</v>
      </c>
      <c r="X76" s="114" t="s">
        <v>58</v>
      </c>
      <c r="Y76" s="114" t="s">
        <v>58</v>
      </c>
      <c r="Z76" s="114" t="s">
        <v>58</v>
      </c>
      <c r="AA76" s="0" t="s">
        <v>722</v>
      </c>
      <c r="AB76" s="0" t="s">
        <v>723</v>
      </c>
      <c r="AC76" s="0" t="s">
        <v>58</v>
      </c>
      <c r="AD76" s="0" t="s">
        <v>58</v>
      </c>
      <c r="AE76" s="0" t="s">
        <v>724</v>
      </c>
      <c r="AF76" s="0" t="s">
        <v>464</v>
      </c>
      <c r="AG76" s="0" t="s">
        <v>58</v>
      </c>
      <c r="AH76" s="0" t="s">
        <v>58</v>
      </c>
    </row>
    <row r="77" customFormat="false" ht="14.4" hidden="false" customHeight="false" outlineLevel="0" collapsed="false">
      <c r="A77" s="0" t="n">
        <v>171</v>
      </c>
      <c r="B77" s="0" t="s">
        <v>725</v>
      </c>
      <c r="C77" s="0" t="s">
        <v>429</v>
      </c>
      <c r="D77" s="0" t="s">
        <v>472</v>
      </c>
      <c r="E77" s="0" t="s">
        <v>459</v>
      </c>
      <c r="F77" s="0" t="n">
        <v>1773</v>
      </c>
      <c r="G77" s="0" t="s">
        <v>138</v>
      </c>
      <c r="H77" s="0" t="n">
        <v>196</v>
      </c>
      <c r="I77" s="0" t="n">
        <v>59</v>
      </c>
      <c r="J77" s="0" t="n">
        <v>478</v>
      </c>
      <c r="K77" s="0" t="n">
        <v>192</v>
      </c>
      <c r="L77" s="0" t="n">
        <v>145</v>
      </c>
      <c r="M77" s="0" t="n">
        <v>0</v>
      </c>
      <c r="N77" s="0" t="n">
        <v>8</v>
      </c>
      <c r="O77" s="0" t="n">
        <v>189</v>
      </c>
      <c r="P77" s="0" t="n">
        <v>43</v>
      </c>
      <c r="Q77" s="114" t="n">
        <v>45</v>
      </c>
      <c r="R77" s="144" t="n">
        <v>180</v>
      </c>
      <c r="S77" s="114" t="n">
        <v>0.75</v>
      </c>
      <c r="T77" s="114" t="n">
        <v>1.5</v>
      </c>
      <c r="U77" s="114" t="n">
        <v>0.75</v>
      </c>
      <c r="V77" s="114" t="n">
        <v>0</v>
      </c>
      <c r="W77" s="152" t="s">
        <v>517</v>
      </c>
      <c r="X77" s="114" t="s">
        <v>58</v>
      </c>
      <c r="Y77" s="114" t="s">
        <v>58</v>
      </c>
      <c r="Z77" s="114" t="s">
        <v>58</v>
      </c>
      <c r="AA77" s="0" t="s">
        <v>518</v>
      </c>
      <c r="AB77" s="0" t="s">
        <v>726</v>
      </c>
      <c r="AC77" s="0" t="s">
        <v>58</v>
      </c>
      <c r="AD77" s="0" t="s">
        <v>58</v>
      </c>
      <c r="AE77" s="0" t="s">
        <v>520</v>
      </c>
      <c r="AF77" s="0" t="s">
        <v>464</v>
      </c>
      <c r="AG77" s="0" t="s">
        <v>58</v>
      </c>
      <c r="AH77" s="0" t="s">
        <v>58</v>
      </c>
    </row>
    <row r="78" customFormat="false" ht="14.4" hidden="false" customHeight="false" outlineLevel="0" collapsed="false">
      <c r="A78" s="0" t="n">
        <v>3171</v>
      </c>
      <c r="B78" s="0" t="s">
        <v>727</v>
      </c>
      <c r="C78" s="0" t="s">
        <v>429</v>
      </c>
      <c r="D78" s="0" t="s">
        <v>438</v>
      </c>
      <c r="E78" s="0" t="s">
        <v>74</v>
      </c>
      <c r="F78" s="0" t="n">
        <v>1938</v>
      </c>
      <c r="G78" s="0" t="s">
        <v>138</v>
      </c>
      <c r="H78" s="0" t="n">
        <v>196</v>
      </c>
      <c r="I78" s="0" t="n">
        <v>59</v>
      </c>
      <c r="J78" s="0" t="n">
        <v>518</v>
      </c>
      <c r="K78" s="0" t="n">
        <v>212</v>
      </c>
      <c r="L78" s="0" t="n">
        <v>175</v>
      </c>
      <c r="M78" s="0" t="n">
        <v>0</v>
      </c>
      <c r="N78" s="0" t="n">
        <v>8</v>
      </c>
      <c r="O78" s="0" t="n">
        <v>189</v>
      </c>
      <c r="P78" s="0" t="n">
        <v>46</v>
      </c>
      <c r="Q78" s="0" t="n">
        <v>45</v>
      </c>
      <c r="R78" s="116" t="n">
        <v>180</v>
      </c>
      <c r="S78" s="114" t="n">
        <v>0.75</v>
      </c>
      <c r="T78" s="114" t="n">
        <v>1.55</v>
      </c>
      <c r="U78" s="114" t="n">
        <v>0.8</v>
      </c>
      <c r="V78" s="114" t="n">
        <v>0</v>
      </c>
      <c r="W78" s="152" t="s">
        <v>517</v>
      </c>
      <c r="X78" s="114" t="s">
        <v>58</v>
      </c>
      <c r="Y78" s="114" t="s">
        <v>58</v>
      </c>
      <c r="Z78" s="114" t="s">
        <v>58</v>
      </c>
      <c r="AA78" s="0" t="s">
        <v>518</v>
      </c>
      <c r="AB78" s="0" t="s">
        <v>726</v>
      </c>
      <c r="AC78" s="0" t="s">
        <v>728</v>
      </c>
      <c r="AD78" s="0" t="s">
        <v>58</v>
      </c>
      <c r="AE78" s="0" t="s">
        <v>520</v>
      </c>
      <c r="AF78" s="0" t="s">
        <v>464</v>
      </c>
      <c r="AG78" s="0" t="s">
        <v>597</v>
      </c>
      <c r="AH78" s="0" t="s">
        <v>58</v>
      </c>
    </row>
    <row r="79" customFormat="false" ht="14.4" hidden="false" customHeight="false" outlineLevel="0" collapsed="false">
      <c r="A79" s="0" t="n">
        <v>174</v>
      </c>
      <c r="B79" s="0" t="s">
        <v>729</v>
      </c>
      <c r="C79" s="0" t="s">
        <v>429</v>
      </c>
      <c r="D79" s="0" t="s">
        <v>472</v>
      </c>
      <c r="E79" s="0" t="s">
        <v>459</v>
      </c>
      <c r="F79" s="0" t="n">
        <v>1773</v>
      </c>
      <c r="G79" s="0" t="s">
        <v>138</v>
      </c>
      <c r="H79" s="0" t="n">
        <v>196</v>
      </c>
      <c r="I79" s="0" t="n">
        <v>59</v>
      </c>
      <c r="J79" s="0" t="n">
        <v>478</v>
      </c>
      <c r="K79" s="0" t="n">
        <v>192</v>
      </c>
      <c r="L79" s="0" t="n">
        <v>145</v>
      </c>
      <c r="M79" s="0" t="n">
        <v>0</v>
      </c>
      <c r="N79" s="0" t="n">
        <v>8</v>
      </c>
      <c r="O79" s="0" t="n">
        <v>189</v>
      </c>
      <c r="P79" s="0" t="n">
        <v>43</v>
      </c>
      <c r="Q79" s="114" t="n">
        <v>51</v>
      </c>
      <c r="R79" s="144" t="n">
        <v>180</v>
      </c>
      <c r="S79" s="114" t="n">
        <v>0.75</v>
      </c>
      <c r="T79" s="114" t="n">
        <v>1.5</v>
      </c>
      <c r="U79" s="114" t="n">
        <v>0.75</v>
      </c>
      <c r="V79" s="114" t="n">
        <v>0</v>
      </c>
      <c r="W79" s="152" t="s">
        <v>517</v>
      </c>
      <c r="X79" s="114" t="s">
        <v>58</v>
      </c>
      <c r="Y79" s="114" t="s">
        <v>58</v>
      </c>
      <c r="Z79" s="114" t="s">
        <v>58</v>
      </c>
      <c r="AA79" s="0" t="s">
        <v>518</v>
      </c>
      <c r="AB79" s="0" t="s">
        <v>519</v>
      </c>
      <c r="AC79" s="0" t="s">
        <v>58</v>
      </c>
      <c r="AD79" s="0" t="s">
        <v>58</v>
      </c>
      <c r="AE79" s="0" t="s">
        <v>520</v>
      </c>
      <c r="AF79" s="0" t="s">
        <v>464</v>
      </c>
      <c r="AG79" s="0" t="s">
        <v>58</v>
      </c>
      <c r="AH79" s="0" t="s">
        <v>58</v>
      </c>
    </row>
    <row r="80" customFormat="false" ht="14.4" hidden="false" customHeight="false" outlineLevel="0" collapsed="false">
      <c r="B80" s="0" t="s">
        <v>730</v>
      </c>
      <c r="C80" s="0" t="s">
        <v>429</v>
      </c>
      <c r="D80" s="0" t="s">
        <v>438</v>
      </c>
      <c r="E80" s="0" t="s">
        <v>74</v>
      </c>
      <c r="F80" s="0" t="n">
        <v>1938</v>
      </c>
      <c r="G80" s="0" t="s">
        <v>138</v>
      </c>
      <c r="H80" s="0" t="n">
        <v>196</v>
      </c>
      <c r="I80" s="0" t="n">
        <v>59</v>
      </c>
      <c r="J80" s="0" t="n">
        <v>518</v>
      </c>
      <c r="K80" s="0" t="n">
        <v>212</v>
      </c>
      <c r="L80" s="0" t="n">
        <v>175</v>
      </c>
      <c r="M80" s="0" t="n">
        <v>0</v>
      </c>
      <c r="N80" s="0" t="n">
        <v>8</v>
      </c>
      <c r="O80" s="0" t="n">
        <v>189</v>
      </c>
      <c r="P80" s="0" t="n">
        <v>46</v>
      </c>
      <c r="Q80" s="0" t="n">
        <v>51</v>
      </c>
      <c r="R80" s="116" t="n">
        <v>180</v>
      </c>
      <c r="S80" s="114" t="n">
        <v>0.75</v>
      </c>
      <c r="T80" s="114" t="n">
        <v>1.55</v>
      </c>
      <c r="U80" s="114" t="n">
        <v>0.8</v>
      </c>
      <c r="V80" s="114" t="n">
        <v>0</v>
      </c>
      <c r="W80" s="152" t="s">
        <v>517</v>
      </c>
      <c r="X80" s="114" t="s">
        <v>58</v>
      </c>
      <c r="Y80" s="114" t="s">
        <v>58</v>
      </c>
      <c r="Z80" s="114" t="s">
        <v>58</v>
      </c>
      <c r="AA80" s="0" t="s">
        <v>518</v>
      </c>
      <c r="AB80" s="0" t="s">
        <v>649</v>
      </c>
      <c r="AC80" s="0" t="s">
        <v>519</v>
      </c>
      <c r="AD80" s="0" t="s">
        <v>58</v>
      </c>
      <c r="AE80" s="0" t="s">
        <v>520</v>
      </c>
      <c r="AF80" s="114" t="s">
        <v>650</v>
      </c>
      <c r="AG80" s="0" t="s">
        <v>464</v>
      </c>
      <c r="AH80" s="0" t="s">
        <v>58</v>
      </c>
    </row>
    <row r="81" customFormat="false" ht="14.4" hidden="false" customHeight="false" outlineLevel="0" collapsed="false">
      <c r="A81" s="0" t="n">
        <v>365</v>
      </c>
      <c r="B81" s="0" t="s">
        <v>731</v>
      </c>
      <c r="C81" s="0" t="s">
        <v>437</v>
      </c>
      <c r="D81" s="0" t="s">
        <v>472</v>
      </c>
      <c r="E81" s="0" t="s">
        <v>459</v>
      </c>
      <c r="F81" s="0" t="n">
        <v>2054</v>
      </c>
      <c r="G81" s="0" t="s">
        <v>138</v>
      </c>
      <c r="H81" s="0" t="n">
        <v>196</v>
      </c>
      <c r="I81" s="0" t="n">
        <v>85</v>
      </c>
      <c r="J81" s="0" t="n">
        <v>283</v>
      </c>
      <c r="K81" s="0" t="n">
        <v>160</v>
      </c>
      <c r="L81" s="0" t="n">
        <v>172</v>
      </c>
      <c r="M81" s="0" t="n">
        <v>0</v>
      </c>
      <c r="N81" s="0" t="n">
        <v>8</v>
      </c>
      <c r="O81" s="0" t="n">
        <v>218</v>
      </c>
      <c r="P81" s="0" t="n">
        <v>42</v>
      </c>
      <c r="Q81" s="114" t="n">
        <v>75</v>
      </c>
      <c r="R81" s="144" t="n">
        <v>197</v>
      </c>
      <c r="S81" s="114" t="n">
        <v>1.2</v>
      </c>
      <c r="T81" s="114" t="n">
        <v>1.3</v>
      </c>
      <c r="U81" s="114" t="n">
        <v>1.3</v>
      </c>
      <c r="V81" s="114" t="n">
        <v>0</v>
      </c>
      <c r="W81" s="114" t="s">
        <v>528</v>
      </c>
      <c r="X81" s="114" t="s">
        <v>58</v>
      </c>
      <c r="Y81" s="114" t="s">
        <v>58</v>
      </c>
      <c r="Z81" s="114" t="s">
        <v>58</v>
      </c>
      <c r="AA81" s="0" t="s">
        <v>514</v>
      </c>
      <c r="AB81" s="0" t="s">
        <v>530</v>
      </c>
      <c r="AC81" s="0" t="s">
        <v>58</v>
      </c>
      <c r="AD81" s="0" t="s">
        <v>58</v>
      </c>
      <c r="AE81" s="0" t="s">
        <v>515</v>
      </c>
      <c r="AF81" s="0" t="s">
        <v>464</v>
      </c>
      <c r="AG81" s="0" t="s">
        <v>58</v>
      </c>
      <c r="AH81" s="0" t="s">
        <v>58</v>
      </c>
    </row>
    <row r="82" customFormat="false" ht="14.4" hidden="false" customHeight="false" outlineLevel="0" collapsed="false">
      <c r="A82" s="0" t="n">
        <v>160</v>
      </c>
      <c r="B82" s="0" t="s">
        <v>732</v>
      </c>
      <c r="C82" s="0" t="s">
        <v>429</v>
      </c>
      <c r="D82" s="0" t="s">
        <v>438</v>
      </c>
      <c r="E82" s="0" t="s">
        <v>74</v>
      </c>
      <c r="F82" s="0" t="n">
        <v>1798</v>
      </c>
      <c r="G82" s="0" t="s">
        <v>138</v>
      </c>
      <c r="H82" s="0" t="n">
        <v>215</v>
      </c>
      <c r="I82" s="0" t="n">
        <v>62</v>
      </c>
      <c r="J82" s="0" t="n">
        <v>524</v>
      </c>
      <c r="K82" s="0" t="n">
        <v>194</v>
      </c>
      <c r="L82" s="0" t="n">
        <v>154</v>
      </c>
      <c r="M82" s="0" t="n">
        <v>0</v>
      </c>
      <c r="N82" s="0" t="n">
        <v>9</v>
      </c>
      <c r="O82" s="0" t="n">
        <v>195</v>
      </c>
      <c r="P82" s="0" t="n">
        <v>45</v>
      </c>
      <c r="Q82" s="0" t="n">
        <v>88</v>
      </c>
      <c r="R82" s="116" t="n">
        <v>178</v>
      </c>
      <c r="S82" s="114" t="n">
        <v>0.75</v>
      </c>
      <c r="T82" s="114" t="n">
        <v>1.55</v>
      </c>
      <c r="U82" s="114" t="n">
        <v>0.75</v>
      </c>
      <c r="V82" s="114" t="n">
        <v>0</v>
      </c>
      <c r="W82" s="152" t="s">
        <v>483</v>
      </c>
      <c r="X82" s="114" t="s">
        <v>58</v>
      </c>
      <c r="Y82" s="114" t="s">
        <v>58</v>
      </c>
      <c r="Z82" s="114" t="s">
        <v>58</v>
      </c>
      <c r="AA82" s="114" t="s">
        <v>733</v>
      </c>
      <c r="AB82" s="114" t="s">
        <v>734</v>
      </c>
      <c r="AC82" s="0" t="s">
        <v>735</v>
      </c>
      <c r="AD82" s="0" t="s">
        <v>58</v>
      </c>
      <c r="AE82" s="114" t="s">
        <v>736</v>
      </c>
      <c r="AF82" s="114" t="s">
        <v>737</v>
      </c>
      <c r="AG82" s="0" t="s">
        <v>464</v>
      </c>
      <c r="AH82" s="0" t="s">
        <v>58</v>
      </c>
    </row>
    <row r="83" customFormat="false" ht="14.4" hidden="false" customHeight="false" outlineLevel="0" collapsed="false">
      <c r="A83" s="0" t="n">
        <v>362</v>
      </c>
      <c r="B83" s="0" t="s">
        <v>738</v>
      </c>
      <c r="C83" s="0" t="s">
        <v>437</v>
      </c>
      <c r="D83" s="0" t="s">
        <v>472</v>
      </c>
      <c r="E83" s="0" t="s">
        <v>459</v>
      </c>
      <c r="F83" s="0" t="n">
        <v>1826</v>
      </c>
      <c r="G83" s="0" t="s">
        <v>138</v>
      </c>
      <c r="H83" s="0" t="n">
        <v>204</v>
      </c>
      <c r="I83" s="0" t="n">
        <v>87</v>
      </c>
      <c r="J83" s="0" t="n">
        <v>320</v>
      </c>
      <c r="K83" s="0" t="n">
        <v>163</v>
      </c>
      <c r="L83" s="0" t="n">
        <v>172</v>
      </c>
      <c r="M83" s="0" t="n">
        <v>0</v>
      </c>
      <c r="N83" s="0" t="n">
        <v>8</v>
      </c>
      <c r="O83" s="0" t="n">
        <v>212</v>
      </c>
      <c r="P83" s="0" t="n">
        <v>45</v>
      </c>
      <c r="Q83" s="114" t="n">
        <v>68</v>
      </c>
      <c r="R83" s="144" t="n">
        <v>184</v>
      </c>
      <c r="S83" s="114" t="n">
        <v>1.3</v>
      </c>
      <c r="T83" s="114" t="n">
        <v>1.3</v>
      </c>
      <c r="U83" s="114" t="n">
        <v>1.25</v>
      </c>
      <c r="V83" s="114" t="n">
        <v>0</v>
      </c>
      <c r="W83" s="0" t="s">
        <v>547</v>
      </c>
      <c r="X83" s="114" t="s">
        <v>58</v>
      </c>
      <c r="Y83" s="114" t="s">
        <v>58</v>
      </c>
      <c r="Z83" s="114" t="s">
        <v>58</v>
      </c>
      <c r="AA83" s="0" t="s">
        <v>739</v>
      </c>
      <c r="AB83" s="0" t="s">
        <v>740</v>
      </c>
      <c r="AC83" s="0" t="s">
        <v>58</v>
      </c>
      <c r="AD83" s="0" t="s">
        <v>58</v>
      </c>
      <c r="AE83" s="0" t="s">
        <v>741</v>
      </c>
      <c r="AF83" s="0" t="s">
        <v>464</v>
      </c>
      <c r="AG83" s="0" t="s">
        <v>58</v>
      </c>
      <c r="AH83" s="0" t="s">
        <v>58</v>
      </c>
    </row>
    <row r="84" customFormat="false" ht="14.4" hidden="false" customHeight="false" outlineLevel="0" collapsed="false">
      <c r="A84" s="0" t="n">
        <v>100</v>
      </c>
      <c r="B84" s="0" t="s">
        <v>742</v>
      </c>
      <c r="C84" s="0" t="s">
        <v>471</v>
      </c>
      <c r="D84" s="0" t="s">
        <v>472</v>
      </c>
      <c r="E84" s="0" t="s">
        <v>74</v>
      </c>
      <c r="F84" s="0" t="n">
        <v>1370</v>
      </c>
      <c r="G84" s="0" t="s">
        <v>138</v>
      </c>
      <c r="H84" s="0" t="n">
        <v>196</v>
      </c>
      <c r="I84" s="0" t="n">
        <v>76</v>
      </c>
      <c r="J84" s="0" t="n">
        <v>356</v>
      </c>
      <c r="K84" s="0" t="n">
        <v>210</v>
      </c>
      <c r="L84" s="0" t="n">
        <v>156</v>
      </c>
      <c r="M84" s="0" t="n">
        <v>0</v>
      </c>
      <c r="N84" s="0" t="n">
        <v>7</v>
      </c>
      <c r="O84" s="0" t="n">
        <v>187</v>
      </c>
      <c r="P84" s="0" t="n">
        <v>43</v>
      </c>
      <c r="Q84" s="114" t="n">
        <v>24</v>
      </c>
      <c r="R84" s="144" t="n">
        <v>191</v>
      </c>
      <c r="S84" s="114" t="n">
        <v>1.25</v>
      </c>
      <c r="T84" s="114" t="n">
        <v>1.3</v>
      </c>
      <c r="U84" s="114" t="n">
        <v>1.05</v>
      </c>
      <c r="V84" s="114" t="n">
        <v>0</v>
      </c>
      <c r="W84" s="0" t="s">
        <v>710</v>
      </c>
      <c r="X84" s="114" t="s">
        <v>58</v>
      </c>
      <c r="Y84" s="114" t="s">
        <v>58</v>
      </c>
      <c r="Z84" s="114" t="s">
        <v>58</v>
      </c>
      <c r="AA84" s="0" t="s">
        <v>743</v>
      </c>
      <c r="AB84" s="0" t="s">
        <v>744</v>
      </c>
      <c r="AC84" s="0" t="s">
        <v>58</v>
      </c>
      <c r="AD84" s="0" t="s">
        <v>58</v>
      </c>
      <c r="AE84" s="0" t="s">
        <v>745</v>
      </c>
      <c r="AF84" s="0" t="s">
        <v>464</v>
      </c>
      <c r="AG84" s="0" t="s">
        <v>58</v>
      </c>
      <c r="AH84" s="0" t="s">
        <v>58</v>
      </c>
    </row>
    <row r="85" customFormat="false" ht="14.4" hidden="false" customHeight="false" outlineLevel="0" collapsed="false">
      <c r="B85" s="0" t="s">
        <v>746</v>
      </c>
      <c r="C85" s="0" t="s">
        <v>471</v>
      </c>
      <c r="D85" s="0" t="s">
        <v>438</v>
      </c>
      <c r="E85" s="0" t="s">
        <v>74</v>
      </c>
      <c r="F85" s="0" t="n">
        <v>1669</v>
      </c>
      <c r="G85" s="0" t="s">
        <v>138</v>
      </c>
      <c r="H85" s="0" t="n">
        <v>207</v>
      </c>
      <c r="I85" s="0" t="n">
        <v>79</v>
      </c>
      <c r="J85" s="0" t="n">
        <v>376</v>
      </c>
      <c r="K85" s="0" t="n">
        <v>210</v>
      </c>
      <c r="L85" s="0" t="n">
        <v>157</v>
      </c>
      <c r="M85" s="0" t="n">
        <v>0</v>
      </c>
      <c r="N85" s="0" t="n">
        <v>9</v>
      </c>
      <c r="O85" s="0" t="n">
        <v>213</v>
      </c>
      <c r="P85" s="0" t="n">
        <v>42</v>
      </c>
      <c r="Q85" s="0" t="n">
        <v>70</v>
      </c>
      <c r="R85" s="116" t="n">
        <v>194</v>
      </c>
      <c r="S85" s="114" t="n">
        <v>1.2</v>
      </c>
      <c r="T85" s="114" t="n">
        <v>1.45</v>
      </c>
      <c r="U85" s="114" t="n">
        <v>1</v>
      </c>
      <c r="V85" s="114" t="n">
        <v>0</v>
      </c>
      <c r="W85" s="0" t="s">
        <v>747</v>
      </c>
      <c r="X85" s="0" t="s">
        <v>748</v>
      </c>
      <c r="Y85" s="0" t="s">
        <v>749</v>
      </c>
      <c r="Z85" s="114"/>
      <c r="AA85" s="114"/>
      <c r="AB85" s="114"/>
      <c r="AC85" s="114"/>
      <c r="AD85" s="114"/>
      <c r="AE85" s="114"/>
      <c r="AF85" s="114"/>
      <c r="AG85" s="114"/>
      <c r="AH85" s="114"/>
    </row>
    <row r="86" customFormat="false" ht="15" hidden="false" customHeight="true" outlineLevel="0" collapsed="false">
      <c r="A86" s="0" t="n">
        <v>161</v>
      </c>
      <c r="B86" s="0" t="s">
        <v>750</v>
      </c>
      <c r="C86" s="0" t="s">
        <v>429</v>
      </c>
      <c r="D86" s="0" t="s">
        <v>472</v>
      </c>
      <c r="E86" s="0" t="s">
        <v>459</v>
      </c>
      <c r="F86" s="0" t="n">
        <v>1747</v>
      </c>
      <c r="G86" s="0" t="s">
        <v>138</v>
      </c>
      <c r="H86" s="0" t="n">
        <v>210</v>
      </c>
      <c r="I86" s="0" t="n">
        <v>60</v>
      </c>
      <c r="J86" s="0" t="n">
        <v>493</v>
      </c>
      <c r="K86" s="0" t="n">
        <v>194</v>
      </c>
      <c r="L86" s="0" t="n">
        <v>150</v>
      </c>
      <c r="M86" s="0" t="n">
        <v>0</v>
      </c>
      <c r="N86" s="0" t="n">
        <v>8</v>
      </c>
      <c r="O86" s="0" t="n">
        <v>170</v>
      </c>
      <c r="P86" s="0" t="n">
        <v>45</v>
      </c>
      <c r="Q86" s="114" t="n">
        <v>52</v>
      </c>
      <c r="R86" s="144" t="n">
        <v>178</v>
      </c>
      <c r="S86" s="114" t="n">
        <v>0.75</v>
      </c>
      <c r="T86" s="114" t="n">
        <v>1.5</v>
      </c>
      <c r="U86" s="114" t="n">
        <v>0.75</v>
      </c>
      <c r="V86" s="114" t="n">
        <v>0</v>
      </c>
      <c r="W86" s="0" t="s">
        <v>483</v>
      </c>
      <c r="X86" s="114" t="s">
        <v>58</v>
      </c>
      <c r="Y86" s="114" t="s">
        <v>58</v>
      </c>
      <c r="Z86" s="114" t="s">
        <v>58</v>
      </c>
      <c r="AA86" s="0" t="s">
        <v>484</v>
      </c>
      <c r="AB86" s="0" t="s">
        <v>735</v>
      </c>
      <c r="AC86" s="0" t="s">
        <v>58</v>
      </c>
      <c r="AD86" s="0" t="s">
        <v>58</v>
      </c>
      <c r="AE86" s="0" t="s">
        <v>751</v>
      </c>
      <c r="AF86" s="0" t="s">
        <v>464</v>
      </c>
      <c r="AG86" s="0" t="s">
        <v>58</v>
      </c>
      <c r="AH86" s="0" t="s">
        <v>58</v>
      </c>
    </row>
    <row r="87" customFormat="false" ht="14.4" hidden="false" customHeight="false" outlineLevel="0" collapsed="false">
      <c r="A87" s="0" t="n">
        <v>162</v>
      </c>
      <c r="B87" s="0" t="s">
        <v>752</v>
      </c>
      <c r="C87" s="0" t="s">
        <v>429</v>
      </c>
      <c r="D87" s="0" t="s">
        <v>472</v>
      </c>
      <c r="E87" s="0" t="s">
        <v>459</v>
      </c>
      <c r="F87" s="0" t="n">
        <v>1747</v>
      </c>
      <c r="G87" s="0" t="s">
        <v>138</v>
      </c>
      <c r="H87" s="0" t="n">
        <v>210</v>
      </c>
      <c r="I87" s="0" t="n">
        <v>60</v>
      </c>
      <c r="J87" s="0" t="n">
        <v>493</v>
      </c>
      <c r="K87" s="0" t="n">
        <v>194</v>
      </c>
      <c r="L87" s="0" t="n">
        <v>150</v>
      </c>
      <c r="M87" s="0" t="n">
        <v>0</v>
      </c>
      <c r="N87" s="0" t="n">
        <v>8</v>
      </c>
      <c r="O87" s="0" t="n">
        <v>170</v>
      </c>
      <c r="P87" s="0" t="n">
        <v>45</v>
      </c>
      <c r="Q87" s="114" t="n">
        <v>57</v>
      </c>
      <c r="R87" s="144" t="n">
        <v>178</v>
      </c>
      <c r="S87" s="114" t="n">
        <v>0.75</v>
      </c>
      <c r="T87" s="114" t="n">
        <v>1.5</v>
      </c>
      <c r="U87" s="114" t="n">
        <v>0.75</v>
      </c>
      <c r="V87" s="114" t="n">
        <v>0</v>
      </c>
      <c r="W87" s="0" t="s">
        <v>483</v>
      </c>
      <c r="X87" s="114" t="s">
        <v>58</v>
      </c>
      <c r="Y87" s="114" t="s">
        <v>58</v>
      </c>
      <c r="Z87" s="114" t="s">
        <v>58</v>
      </c>
      <c r="AA87" s="0" t="s">
        <v>484</v>
      </c>
      <c r="AB87" s="0" t="s">
        <v>735</v>
      </c>
      <c r="AC87" s="0" t="s">
        <v>58</v>
      </c>
      <c r="AD87" s="0" t="s">
        <v>58</v>
      </c>
      <c r="AE87" s="0" t="s">
        <v>751</v>
      </c>
      <c r="AF87" s="0" t="s">
        <v>464</v>
      </c>
      <c r="AG87" s="0" t="s">
        <v>58</v>
      </c>
      <c r="AH87" s="0" t="s">
        <v>58</v>
      </c>
    </row>
    <row r="88" customFormat="false" ht="14.4" hidden="false" customHeight="false" outlineLevel="0" collapsed="false">
      <c r="A88" s="0" t="n">
        <v>317</v>
      </c>
      <c r="B88" s="0" t="s">
        <v>753</v>
      </c>
      <c r="C88" s="0" t="s">
        <v>429</v>
      </c>
      <c r="D88" s="0" t="s">
        <v>472</v>
      </c>
      <c r="E88" s="0" t="s">
        <v>459</v>
      </c>
      <c r="F88" s="0" t="n">
        <v>2083</v>
      </c>
      <c r="G88" s="0" t="s">
        <v>138</v>
      </c>
      <c r="H88" s="0" t="n">
        <v>201</v>
      </c>
      <c r="I88" s="0" t="n">
        <v>65</v>
      </c>
      <c r="J88" s="0" t="n">
        <v>502</v>
      </c>
      <c r="K88" s="0" t="n">
        <v>191</v>
      </c>
      <c r="L88" s="0" t="n">
        <v>149</v>
      </c>
      <c r="M88" s="0" t="n">
        <v>0</v>
      </c>
      <c r="N88" s="0" t="n">
        <v>8</v>
      </c>
      <c r="O88" s="0" t="n">
        <v>198</v>
      </c>
      <c r="P88" s="0" t="n">
        <v>42</v>
      </c>
      <c r="Q88" s="114" t="n">
        <v>18</v>
      </c>
      <c r="R88" s="144" t="n">
        <v>183</v>
      </c>
      <c r="S88" s="114" t="n">
        <v>0.75</v>
      </c>
      <c r="T88" s="114" t="n">
        <v>1.5</v>
      </c>
      <c r="U88" s="114" t="n">
        <v>0.75</v>
      </c>
      <c r="V88" s="114" t="n">
        <v>0</v>
      </c>
      <c r="W88" s="152" t="s">
        <v>691</v>
      </c>
      <c r="X88" s="114" t="s">
        <v>58</v>
      </c>
      <c r="Y88" s="114" t="s">
        <v>58</v>
      </c>
      <c r="Z88" s="114" t="s">
        <v>58</v>
      </c>
      <c r="AA88" s="0" t="s">
        <v>754</v>
      </c>
      <c r="AB88" s="0" t="s">
        <v>693</v>
      </c>
      <c r="AC88" s="0" t="s">
        <v>58</v>
      </c>
      <c r="AD88" s="0" t="s">
        <v>58</v>
      </c>
      <c r="AE88" s="0" t="s">
        <v>755</v>
      </c>
      <c r="AF88" s="0" t="s">
        <v>464</v>
      </c>
      <c r="AG88" s="0" t="s">
        <v>58</v>
      </c>
      <c r="AH88" s="0" t="s">
        <v>58</v>
      </c>
    </row>
    <row r="89" customFormat="false" ht="14.4" hidden="false" customHeight="false" outlineLevel="0" collapsed="false">
      <c r="A89" s="0" t="n">
        <v>101</v>
      </c>
      <c r="B89" s="0" t="s">
        <v>756</v>
      </c>
      <c r="C89" s="0" t="s">
        <v>471</v>
      </c>
      <c r="D89" s="0" t="s">
        <v>438</v>
      </c>
      <c r="E89" s="0" t="s">
        <v>459</v>
      </c>
      <c r="F89" s="0" t="n">
        <v>1581</v>
      </c>
      <c r="G89" s="0" t="s">
        <v>138</v>
      </c>
      <c r="H89" s="0" t="n">
        <v>207</v>
      </c>
      <c r="I89" s="0" t="n">
        <v>80</v>
      </c>
      <c r="J89" s="0" t="n">
        <v>374</v>
      </c>
      <c r="K89" s="0" t="n">
        <v>210</v>
      </c>
      <c r="L89" s="0" t="n">
        <v>160</v>
      </c>
      <c r="M89" s="0" t="n">
        <v>0</v>
      </c>
      <c r="N89" s="0" t="n">
        <v>9</v>
      </c>
      <c r="O89" s="0" t="n">
        <v>215</v>
      </c>
      <c r="P89" s="0" t="n">
        <v>43</v>
      </c>
      <c r="Q89" s="114" t="n">
        <v>65</v>
      </c>
      <c r="R89" s="144" t="n">
        <v>194</v>
      </c>
      <c r="S89" s="114" t="n">
        <v>1.2</v>
      </c>
      <c r="T89" s="114" t="n">
        <v>1.4</v>
      </c>
      <c r="U89" s="114" t="n">
        <v>1.05</v>
      </c>
      <c r="V89" s="114" t="n">
        <v>0</v>
      </c>
      <c r="W89" s="0" t="s">
        <v>757</v>
      </c>
      <c r="X89" s="114"/>
      <c r="Y89" s="114" t="s">
        <v>58</v>
      </c>
      <c r="Z89" s="114" t="s">
        <v>58</v>
      </c>
      <c r="AA89" s="0" t="s">
        <v>758</v>
      </c>
      <c r="AB89" s="0" t="s">
        <v>759</v>
      </c>
      <c r="AC89" s="0" t="s">
        <v>58</v>
      </c>
      <c r="AD89" s="0" t="s">
        <v>58</v>
      </c>
      <c r="AE89" s="0" t="s">
        <v>760</v>
      </c>
      <c r="AF89" s="0" t="s">
        <v>464</v>
      </c>
      <c r="AG89" s="0" t="s">
        <v>58</v>
      </c>
      <c r="AH89" s="0" t="s">
        <v>58</v>
      </c>
    </row>
    <row r="90" customFormat="false" ht="15" hidden="false" customHeight="true" outlineLevel="0" collapsed="false">
      <c r="A90" s="0" t="n">
        <v>3101</v>
      </c>
      <c r="B90" s="0" t="s">
        <v>761</v>
      </c>
      <c r="C90" s="0" t="s">
        <v>471</v>
      </c>
      <c r="D90" s="0" t="s">
        <v>430</v>
      </c>
      <c r="E90" s="0" t="s">
        <v>459</v>
      </c>
      <c r="F90" s="0" t="n">
        <v>1746</v>
      </c>
      <c r="G90" s="0" t="s">
        <v>138</v>
      </c>
      <c r="H90" s="0" t="n">
        <v>207</v>
      </c>
      <c r="I90" s="0" t="n">
        <v>90</v>
      </c>
      <c r="J90" s="0" t="n">
        <v>429</v>
      </c>
      <c r="K90" s="0" t="n">
        <v>250</v>
      </c>
      <c r="L90" s="0" t="n">
        <v>160</v>
      </c>
      <c r="M90" s="0" t="n">
        <v>0</v>
      </c>
      <c r="N90" s="0" t="n">
        <v>9</v>
      </c>
      <c r="O90" s="0" t="n">
        <v>215</v>
      </c>
      <c r="P90" s="0" t="n">
        <v>46</v>
      </c>
      <c r="Q90" s="114" t="n">
        <v>65</v>
      </c>
      <c r="R90" s="144" t="n">
        <v>194</v>
      </c>
      <c r="S90" s="114" t="n">
        <v>1.25</v>
      </c>
      <c r="T90" s="114" t="n">
        <v>1.45</v>
      </c>
      <c r="U90" s="114" t="n">
        <v>1.05</v>
      </c>
      <c r="V90" s="114" t="n">
        <v>0</v>
      </c>
      <c r="W90" s="0" t="s">
        <v>757</v>
      </c>
      <c r="X90" s="0" t="s">
        <v>762</v>
      </c>
      <c r="Y90" s="0" t="s">
        <v>763</v>
      </c>
      <c r="Z90" s="114" t="s">
        <v>58</v>
      </c>
      <c r="AA90" s="0" t="s">
        <v>758</v>
      </c>
      <c r="AB90" s="0" t="s">
        <v>764</v>
      </c>
      <c r="AC90" s="0" t="s">
        <v>759</v>
      </c>
      <c r="AD90" s="0" t="s">
        <v>58</v>
      </c>
      <c r="AE90" s="0" t="s">
        <v>760</v>
      </c>
      <c r="AF90" s="0" t="s">
        <v>765</v>
      </c>
      <c r="AG90" s="0" t="s">
        <v>464</v>
      </c>
      <c r="AH90" s="0" t="s">
        <v>58</v>
      </c>
    </row>
    <row r="91" customFormat="false" ht="14.4" hidden="false" customHeight="false" outlineLevel="0" collapsed="false">
      <c r="A91" s="0" t="n">
        <v>300</v>
      </c>
      <c r="B91" s="0" t="s">
        <v>766</v>
      </c>
      <c r="C91" s="0" t="s">
        <v>437</v>
      </c>
      <c r="D91" s="0" t="s">
        <v>472</v>
      </c>
      <c r="E91" s="0" t="s">
        <v>459</v>
      </c>
      <c r="F91" s="0" t="n">
        <v>2080</v>
      </c>
      <c r="G91" s="0" t="s">
        <v>138</v>
      </c>
      <c r="H91" s="0" t="n">
        <v>201</v>
      </c>
      <c r="I91" s="0" t="n">
        <v>85</v>
      </c>
      <c r="J91" s="0" t="n">
        <v>283</v>
      </c>
      <c r="K91" s="0" t="n">
        <v>161</v>
      </c>
      <c r="L91" s="0" t="n">
        <v>172</v>
      </c>
      <c r="M91" s="0" t="n">
        <v>0</v>
      </c>
      <c r="N91" s="0" t="n">
        <v>8</v>
      </c>
      <c r="O91" s="0" t="n">
        <v>206</v>
      </c>
      <c r="P91" s="0" t="n">
        <v>43</v>
      </c>
      <c r="Q91" s="114" t="n">
        <v>81</v>
      </c>
      <c r="R91" s="144" t="n">
        <v>197</v>
      </c>
      <c r="S91" s="114" t="n">
        <v>1.2</v>
      </c>
      <c r="T91" s="114" t="n">
        <v>1.3</v>
      </c>
      <c r="U91" s="114" t="n">
        <v>1.3</v>
      </c>
      <c r="V91" s="114" t="n">
        <v>0</v>
      </c>
      <c r="W91" s="152" t="s">
        <v>528</v>
      </c>
      <c r="X91" s="114" t="s">
        <v>58</v>
      </c>
      <c r="Y91" s="114" t="s">
        <v>58</v>
      </c>
      <c r="Z91" s="114" t="s">
        <v>58</v>
      </c>
      <c r="AA91" s="0" t="s">
        <v>590</v>
      </c>
      <c r="AB91" s="0" t="s">
        <v>688</v>
      </c>
      <c r="AC91" s="0" t="s">
        <v>58</v>
      </c>
      <c r="AD91" s="0" t="s">
        <v>58</v>
      </c>
      <c r="AE91" s="0" t="s">
        <v>592</v>
      </c>
      <c r="AF91" s="0" t="s">
        <v>464</v>
      </c>
      <c r="AG91" s="0" t="s">
        <v>58</v>
      </c>
      <c r="AH91" s="0" t="s">
        <v>58</v>
      </c>
    </row>
    <row r="92" customFormat="false" ht="14.4" hidden="false" customHeight="false" outlineLevel="0" collapsed="false">
      <c r="A92" s="0" t="n">
        <v>307</v>
      </c>
      <c r="B92" s="0" t="s">
        <v>767</v>
      </c>
      <c r="C92" s="0" t="s">
        <v>471</v>
      </c>
      <c r="D92" s="0" t="s">
        <v>472</v>
      </c>
      <c r="E92" s="0" t="s">
        <v>459</v>
      </c>
      <c r="F92" s="0" t="n">
        <v>1536</v>
      </c>
      <c r="G92" s="0" t="s">
        <v>138</v>
      </c>
      <c r="H92" s="0" t="n">
        <v>201</v>
      </c>
      <c r="I92" s="0" t="n">
        <v>76</v>
      </c>
      <c r="J92" s="0" t="n">
        <v>364</v>
      </c>
      <c r="K92" s="0" t="n">
        <v>210</v>
      </c>
      <c r="L92" s="0" t="n">
        <v>156</v>
      </c>
      <c r="M92" s="0" t="n">
        <v>0</v>
      </c>
      <c r="N92" s="0" t="n">
        <v>8</v>
      </c>
      <c r="O92" s="0" t="n">
        <v>210</v>
      </c>
      <c r="P92" s="0" t="n">
        <v>43</v>
      </c>
      <c r="Q92" s="114" t="n">
        <v>20</v>
      </c>
      <c r="R92" s="144" t="n">
        <v>194</v>
      </c>
      <c r="S92" s="114" t="n">
        <v>1.2</v>
      </c>
      <c r="T92" s="114" t="n">
        <v>1.4</v>
      </c>
      <c r="U92" s="114" t="n">
        <v>1.05</v>
      </c>
      <c r="V92" s="114" t="n">
        <v>0</v>
      </c>
      <c r="W92" s="0" t="s">
        <v>768</v>
      </c>
      <c r="X92" s="114" t="s">
        <v>58</v>
      </c>
      <c r="Y92" s="114" t="s">
        <v>58</v>
      </c>
      <c r="Z92" s="114" t="s">
        <v>58</v>
      </c>
      <c r="AA92" s="0" t="s">
        <v>769</v>
      </c>
      <c r="AB92" s="0" t="s">
        <v>770</v>
      </c>
      <c r="AC92" s="0" t="s">
        <v>58</v>
      </c>
      <c r="AD92" s="0" t="s">
        <v>58</v>
      </c>
      <c r="AE92" s="0" t="s">
        <v>771</v>
      </c>
      <c r="AF92" s="0" t="s">
        <v>464</v>
      </c>
      <c r="AG92" s="0" t="s">
        <v>58</v>
      </c>
      <c r="AH92" s="0" t="s">
        <v>58</v>
      </c>
    </row>
    <row r="93" customFormat="false" ht="14.4" hidden="false" customHeight="false" outlineLevel="0" collapsed="false">
      <c r="A93" s="0" t="n">
        <v>102</v>
      </c>
      <c r="B93" s="0" t="s">
        <v>772</v>
      </c>
      <c r="C93" s="0" t="s">
        <v>471</v>
      </c>
      <c r="D93" s="0" t="s">
        <v>472</v>
      </c>
      <c r="E93" s="0" t="s">
        <v>459</v>
      </c>
      <c r="F93" s="0" t="n">
        <v>1536</v>
      </c>
      <c r="G93" s="0" t="s">
        <v>138</v>
      </c>
      <c r="H93" s="0" t="n">
        <v>201</v>
      </c>
      <c r="I93" s="0" t="n">
        <v>76</v>
      </c>
      <c r="J93" s="0" t="n">
        <v>364</v>
      </c>
      <c r="K93" s="0" t="n">
        <v>210</v>
      </c>
      <c r="L93" s="0" t="n">
        <v>156</v>
      </c>
      <c r="M93" s="0" t="n">
        <v>0</v>
      </c>
      <c r="N93" s="0" t="n">
        <v>8</v>
      </c>
      <c r="O93" s="0" t="n">
        <v>210</v>
      </c>
      <c r="P93" s="0" t="n">
        <v>43</v>
      </c>
      <c r="Q93" s="114" t="n">
        <v>40</v>
      </c>
      <c r="R93" s="144" t="n">
        <v>194</v>
      </c>
      <c r="S93" s="114" t="n">
        <v>1.2</v>
      </c>
      <c r="T93" s="114" t="n">
        <v>1.4</v>
      </c>
      <c r="U93" s="114" t="n">
        <v>1.05</v>
      </c>
      <c r="V93" s="114" t="n">
        <v>0</v>
      </c>
      <c r="W93" s="0" t="s">
        <v>768</v>
      </c>
      <c r="X93" s="114" t="s">
        <v>58</v>
      </c>
      <c r="Y93" s="114" t="s">
        <v>58</v>
      </c>
      <c r="Z93" s="114" t="s">
        <v>58</v>
      </c>
      <c r="AA93" s="0" t="s">
        <v>773</v>
      </c>
      <c r="AB93" s="0" t="s">
        <v>770</v>
      </c>
      <c r="AC93" s="0" t="s">
        <v>58</v>
      </c>
      <c r="AD93" s="0" t="s">
        <v>58</v>
      </c>
      <c r="AE93" s="0" t="s">
        <v>478</v>
      </c>
      <c r="AF93" s="0" t="s">
        <v>464</v>
      </c>
      <c r="AG93" s="0" t="s">
        <v>58</v>
      </c>
      <c r="AH93" s="0" t="s">
        <v>58</v>
      </c>
    </row>
    <row r="94" customFormat="false" ht="14.4" hidden="false" customHeight="false" outlineLevel="0" collapsed="false">
      <c r="A94" s="0" t="n">
        <v>306</v>
      </c>
      <c r="B94" s="0" t="s">
        <v>774</v>
      </c>
      <c r="C94" s="0" t="s">
        <v>471</v>
      </c>
      <c r="D94" s="0" t="s">
        <v>472</v>
      </c>
      <c r="E94" s="0" t="s">
        <v>459</v>
      </c>
      <c r="F94" s="0" t="n">
        <v>1536</v>
      </c>
      <c r="G94" s="0" t="s">
        <v>138</v>
      </c>
      <c r="H94" s="0" t="n">
        <v>201</v>
      </c>
      <c r="I94" s="0" t="n">
        <v>76</v>
      </c>
      <c r="J94" s="0" t="n">
        <v>364</v>
      </c>
      <c r="K94" s="0" t="n">
        <v>210</v>
      </c>
      <c r="L94" s="0" t="n">
        <v>156</v>
      </c>
      <c r="M94" s="0" t="n">
        <v>0</v>
      </c>
      <c r="N94" s="0" t="n">
        <v>8</v>
      </c>
      <c r="O94" s="0" t="n">
        <v>210</v>
      </c>
      <c r="P94" s="0" t="n">
        <v>43</v>
      </c>
      <c r="Q94" s="114" t="n">
        <v>52</v>
      </c>
      <c r="R94" s="144" t="n">
        <v>194</v>
      </c>
      <c r="S94" s="114" t="n">
        <v>1.2</v>
      </c>
      <c r="T94" s="114" t="n">
        <v>1.4</v>
      </c>
      <c r="U94" s="114" t="n">
        <v>1.05</v>
      </c>
      <c r="V94" s="114" t="n">
        <v>0</v>
      </c>
      <c r="W94" s="0" t="s">
        <v>768</v>
      </c>
      <c r="X94" s="114" t="s">
        <v>58</v>
      </c>
      <c r="Y94" s="114" t="s">
        <v>58</v>
      </c>
      <c r="Z94" s="114" t="s">
        <v>58</v>
      </c>
      <c r="AA94" s="0" t="s">
        <v>775</v>
      </c>
      <c r="AB94" s="0" t="s">
        <v>770</v>
      </c>
      <c r="AC94" s="0" t="s">
        <v>58</v>
      </c>
      <c r="AD94" s="0" t="s">
        <v>58</v>
      </c>
      <c r="AE94" s="0" t="s">
        <v>622</v>
      </c>
      <c r="AF94" s="0" t="s">
        <v>464</v>
      </c>
      <c r="AG94" s="0" t="s">
        <v>58</v>
      </c>
      <c r="AH94" s="0" t="s">
        <v>58</v>
      </c>
    </row>
    <row r="95" customFormat="false" ht="14.4" hidden="false" customHeight="false" outlineLevel="0" collapsed="false">
      <c r="A95" s="0" t="n">
        <v>167</v>
      </c>
      <c r="B95" s="0" t="s">
        <v>776</v>
      </c>
      <c r="C95" s="0" t="s">
        <v>429</v>
      </c>
      <c r="D95" s="0" t="s">
        <v>472</v>
      </c>
      <c r="E95" s="0" t="s">
        <v>459</v>
      </c>
      <c r="F95" s="0" t="n">
        <v>1885</v>
      </c>
      <c r="G95" s="0" t="s">
        <v>138</v>
      </c>
      <c r="H95" s="0" t="n">
        <v>201</v>
      </c>
      <c r="I95" s="0" t="n">
        <v>65</v>
      </c>
      <c r="J95" s="0" t="n">
        <v>512</v>
      </c>
      <c r="K95" s="0" t="n">
        <v>192</v>
      </c>
      <c r="L95" s="0" t="n">
        <v>150</v>
      </c>
      <c r="M95" s="0" t="n">
        <v>0</v>
      </c>
      <c r="N95" s="0" t="n">
        <v>8</v>
      </c>
      <c r="O95" s="0" t="n">
        <v>189</v>
      </c>
      <c r="P95" s="0" t="n">
        <v>42</v>
      </c>
      <c r="Q95" s="114" t="n">
        <v>25</v>
      </c>
      <c r="R95" s="144" t="n">
        <v>184</v>
      </c>
      <c r="S95" s="114" t="n">
        <v>0.75</v>
      </c>
      <c r="T95" s="114" t="n">
        <v>1.5</v>
      </c>
      <c r="U95" s="114" t="n">
        <v>0.75</v>
      </c>
      <c r="V95" s="114" t="n">
        <v>0</v>
      </c>
      <c r="W95" s="152" t="s">
        <v>691</v>
      </c>
      <c r="X95" s="114" t="s">
        <v>58</v>
      </c>
      <c r="Y95" s="114" t="s">
        <v>58</v>
      </c>
      <c r="Z95" s="114" t="s">
        <v>58</v>
      </c>
      <c r="AA95" s="0" t="s">
        <v>777</v>
      </c>
      <c r="AB95" s="0" t="s">
        <v>518</v>
      </c>
      <c r="AC95" s="0" t="s">
        <v>778</v>
      </c>
      <c r="AD95" s="0" t="s">
        <v>58</v>
      </c>
      <c r="AE95" s="0" t="s">
        <v>779</v>
      </c>
      <c r="AF95" s="0" t="s">
        <v>520</v>
      </c>
      <c r="AG95" s="0" t="s">
        <v>464</v>
      </c>
      <c r="AH95" s="0" t="s">
        <v>58</v>
      </c>
    </row>
    <row r="96" customFormat="false" ht="14.4" hidden="false" customHeight="false" outlineLevel="0" collapsed="false">
      <c r="A96" s="0" t="n">
        <v>3167</v>
      </c>
      <c r="B96" s="0" t="s">
        <v>780</v>
      </c>
      <c r="C96" s="0" t="s">
        <v>429</v>
      </c>
      <c r="D96" s="0" t="s">
        <v>438</v>
      </c>
      <c r="E96" s="0" t="s">
        <v>459</v>
      </c>
      <c r="F96" s="0" t="n">
        <v>2050</v>
      </c>
      <c r="G96" s="0" t="s">
        <v>138</v>
      </c>
      <c r="H96" s="0" t="n">
        <v>221</v>
      </c>
      <c r="I96" s="0" t="n">
        <v>75</v>
      </c>
      <c r="J96" s="0" t="n">
        <v>552</v>
      </c>
      <c r="K96" s="0" t="n">
        <v>192</v>
      </c>
      <c r="L96" s="0" t="n">
        <v>150</v>
      </c>
      <c r="M96" s="0" t="n">
        <v>0</v>
      </c>
      <c r="N96" s="0" t="n">
        <v>8</v>
      </c>
      <c r="O96" s="0" t="n">
        <v>209</v>
      </c>
      <c r="P96" s="0" t="n">
        <v>45</v>
      </c>
      <c r="Q96" s="114" t="n">
        <v>25</v>
      </c>
      <c r="R96" s="144" t="n">
        <v>184</v>
      </c>
      <c r="S96" s="114" t="n">
        <v>0.8</v>
      </c>
      <c r="T96" s="114" t="n">
        <v>1.55</v>
      </c>
      <c r="U96" s="114" t="n">
        <v>0.75</v>
      </c>
      <c r="V96" s="114" t="n">
        <v>0</v>
      </c>
      <c r="W96" s="114" t="s">
        <v>691</v>
      </c>
      <c r="X96" s="114" t="s">
        <v>58</v>
      </c>
      <c r="Y96" s="114" t="s">
        <v>58</v>
      </c>
      <c r="Z96" s="114" t="s">
        <v>58</v>
      </c>
      <c r="AA96" s="0" t="s">
        <v>777</v>
      </c>
      <c r="AB96" s="0" t="s">
        <v>518</v>
      </c>
      <c r="AC96" s="0" t="s">
        <v>781</v>
      </c>
      <c r="AD96" s="0" t="s">
        <v>778</v>
      </c>
      <c r="AE96" s="0" t="s">
        <v>782</v>
      </c>
      <c r="AF96" s="0" t="s">
        <v>520</v>
      </c>
      <c r="AG96" s="0" t="s">
        <v>512</v>
      </c>
      <c r="AH96" s="0" t="s">
        <v>464</v>
      </c>
    </row>
    <row r="97" customFormat="false" ht="14.4" hidden="false" customHeight="false" outlineLevel="0" collapsed="false">
      <c r="A97" s="0" t="n">
        <v>363</v>
      </c>
      <c r="B97" s="0" t="s">
        <v>783</v>
      </c>
      <c r="C97" s="0" t="s">
        <v>437</v>
      </c>
      <c r="D97" s="0" t="s">
        <v>472</v>
      </c>
      <c r="E97" s="0" t="s">
        <v>459</v>
      </c>
      <c r="F97" s="0" t="n">
        <v>1826</v>
      </c>
      <c r="G97" s="0" t="s">
        <v>138</v>
      </c>
      <c r="H97" s="0" t="n">
        <v>204</v>
      </c>
      <c r="I97" s="0" t="n">
        <v>87</v>
      </c>
      <c r="J97" s="0" t="n">
        <v>320</v>
      </c>
      <c r="K97" s="0" t="n">
        <v>163</v>
      </c>
      <c r="L97" s="0" t="n">
        <v>172</v>
      </c>
      <c r="M97" s="0" t="n">
        <v>0</v>
      </c>
      <c r="N97" s="0" t="n">
        <v>8</v>
      </c>
      <c r="O97" s="0" t="n">
        <v>193</v>
      </c>
      <c r="P97" s="0" t="n">
        <v>45</v>
      </c>
      <c r="Q97" s="114" t="n">
        <v>75</v>
      </c>
      <c r="R97" s="144" t="n">
        <v>184</v>
      </c>
      <c r="S97" s="114" t="n">
        <v>1.3</v>
      </c>
      <c r="T97" s="114" t="n">
        <v>1.3</v>
      </c>
      <c r="U97" s="114" t="n">
        <v>1.25</v>
      </c>
      <c r="V97" s="114" t="n">
        <v>0</v>
      </c>
      <c r="W97" s="0" t="s">
        <v>547</v>
      </c>
      <c r="X97" s="114" t="s">
        <v>58</v>
      </c>
      <c r="Y97" s="114" t="s">
        <v>58</v>
      </c>
      <c r="Z97" s="114" t="s">
        <v>58</v>
      </c>
      <c r="AA97" s="0" t="s">
        <v>784</v>
      </c>
      <c r="AB97" s="0" t="s">
        <v>785</v>
      </c>
      <c r="AC97" s="0" t="s">
        <v>58</v>
      </c>
      <c r="AD97" s="0" t="s">
        <v>58</v>
      </c>
      <c r="AE97" s="0" t="s">
        <v>786</v>
      </c>
      <c r="AF97" s="0" t="s">
        <v>464</v>
      </c>
      <c r="AG97" s="0" t="s">
        <v>58</v>
      </c>
      <c r="AH97" s="0" t="s">
        <v>58</v>
      </c>
    </row>
    <row r="98" customFormat="false" ht="14.4" hidden="false" customHeight="false" outlineLevel="0" collapsed="false">
      <c r="A98" s="0" t="n">
        <v>269</v>
      </c>
      <c r="B98" s="0" t="s">
        <v>787</v>
      </c>
      <c r="C98" s="0" t="s">
        <v>429</v>
      </c>
      <c r="D98" s="0" t="s">
        <v>472</v>
      </c>
      <c r="E98" s="0" t="s">
        <v>459</v>
      </c>
      <c r="F98" s="0" t="n">
        <v>1561</v>
      </c>
      <c r="G98" s="0" t="s">
        <v>138</v>
      </c>
      <c r="H98" s="0" t="n">
        <v>209</v>
      </c>
      <c r="I98" s="0" t="n">
        <v>60</v>
      </c>
      <c r="J98" s="0" t="n">
        <v>404</v>
      </c>
      <c r="K98" s="0" t="n">
        <v>193</v>
      </c>
      <c r="L98" s="0" t="n">
        <v>139</v>
      </c>
      <c r="M98" s="0" t="n">
        <v>0</v>
      </c>
      <c r="N98" s="0" t="n">
        <v>7</v>
      </c>
      <c r="O98" s="0" t="n">
        <v>202</v>
      </c>
      <c r="P98" s="0" t="n">
        <v>44</v>
      </c>
      <c r="Q98" s="114" t="n">
        <v>86</v>
      </c>
      <c r="R98" s="144" t="n">
        <v>183</v>
      </c>
      <c r="S98" s="114" t="n">
        <v>0.75</v>
      </c>
      <c r="T98" s="114" t="n">
        <v>1.4</v>
      </c>
      <c r="U98" s="114" t="n">
        <v>0.75</v>
      </c>
      <c r="V98" s="114" t="n">
        <v>0</v>
      </c>
      <c r="W98" s="0" t="s">
        <v>721</v>
      </c>
      <c r="X98" s="114" t="s">
        <v>58</v>
      </c>
      <c r="Y98" s="114" t="s">
        <v>58</v>
      </c>
      <c r="Z98" s="114" t="s">
        <v>58</v>
      </c>
      <c r="AA98" s="0" t="s">
        <v>788</v>
      </c>
      <c r="AB98" s="0" t="s">
        <v>789</v>
      </c>
      <c r="AC98" s="0" t="s">
        <v>58</v>
      </c>
      <c r="AD98" s="0" t="s">
        <v>58</v>
      </c>
      <c r="AE98" s="0" t="s">
        <v>790</v>
      </c>
      <c r="AF98" s="0" t="s">
        <v>464</v>
      </c>
      <c r="AG98" s="0" t="s">
        <v>58</v>
      </c>
      <c r="AH98" s="0" t="s">
        <v>58</v>
      </c>
    </row>
    <row r="99" customFormat="false" ht="15" hidden="false" customHeight="true" outlineLevel="0" collapsed="false">
      <c r="A99" s="0" t="n">
        <v>3269</v>
      </c>
      <c r="B99" s="0" t="s">
        <v>791</v>
      </c>
      <c r="C99" s="0" t="s">
        <v>429</v>
      </c>
      <c r="D99" s="0" t="s">
        <v>438</v>
      </c>
      <c r="E99" s="0" t="s">
        <v>459</v>
      </c>
      <c r="F99" s="0" t="n">
        <v>1726</v>
      </c>
      <c r="G99" s="0" t="s">
        <v>138</v>
      </c>
      <c r="H99" s="0" t="n">
        <v>229</v>
      </c>
      <c r="I99" s="0" t="n">
        <v>60</v>
      </c>
      <c r="J99" s="0" t="n">
        <v>414</v>
      </c>
      <c r="K99" s="0" t="n">
        <v>193</v>
      </c>
      <c r="L99" s="0" t="n">
        <v>179</v>
      </c>
      <c r="M99" s="0" t="n">
        <v>0</v>
      </c>
      <c r="N99" s="0" t="n">
        <v>7</v>
      </c>
      <c r="O99" s="0" t="n">
        <v>202</v>
      </c>
      <c r="P99" s="0" t="n">
        <v>47</v>
      </c>
      <c r="Q99" s="114" t="n">
        <v>86</v>
      </c>
      <c r="R99" s="144" t="n">
        <v>193</v>
      </c>
      <c r="S99" s="114" t="n">
        <v>0.75</v>
      </c>
      <c r="T99" s="114" t="n">
        <v>1.45</v>
      </c>
      <c r="U99" s="114" t="n">
        <v>0.8</v>
      </c>
      <c r="V99" s="114" t="n">
        <v>0</v>
      </c>
      <c r="W99" s="0" t="s">
        <v>721</v>
      </c>
      <c r="X99" s="114" t="s">
        <v>58</v>
      </c>
      <c r="Y99" s="114" t="s">
        <v>58</v>
      </c>
      <c r="Z99" s="114" t="s">
        <v>58</v>
      </c>
      <c r="AA99" s="0" t="s">
        <v>788</v>
      </c>
      <c r="AB99" s="0" t="s">
        <v>792</v>
      </c>
      <c r="AC99" s="0" t="s">
        <v>789</v>
      </c>
      <c r="AD99" s="0" t="s">
        <v>58</v>
      </c>
      <c r="AE99" s="0" t="s">
        <v>790</v>
      </c>
      <c r="AF99" s="0" t="s">
        <v>793</v>
      </c>
      <c r="AG99" s="0" t="s">
        <v>464</v>
      </c>
      <c r="AH99" s="0" t="s">
        <v>58</v>
      </c>
    </row>
    <row r="100" customFormat="false" ht="14.4" hidden="false" customHeight="false" outlineLevel="0" collapsed="false">
      <c r="A100" s="0" t="n">
        <v>424</v>
      </c>
      <c r="B100" s="0" t="s">
        <v>794</v>
      </c>
      <c r="C100" s="0" t="s">
        <v>429</v>
      </c>
      <c r="D100" s="0" t="s">
        <v>438</v>
      </c>
      <c r="E100" s="0" t="s">
        <v>74</v>
      </c>
      <c r="F100" s="0" t="n">
        <v>1999</v>
      </c>
      <c r="G100" s="0" t="s">
        <v>138</v>
      </c>
      <c r="H100" s="0" t="n">
        <v>201</v>
      </c>
      <c r="I100" s="0" t="n">
        <v>65</v>
      </c>
      <c r="J100" s="0" t="n">
        <v>526</v>
      </c>
      <c r="K100" s="0" t="n">
        <v>191</v>
      </c>
      <c r="L100" s="0" t="n">
        <v>156</v>
      </c>
      <c r="M100" s="0" t="n">
        <v>0</v>
      </c>
      <c r="N100" s="0" t="n">
        <v>7</v>
      </c>
      <c r="O100" s="0" t="n">
        <v>192</v>
      </c>
      <c r="P100" s="0" t="n">
        <v>42</v>
      </c>
      <c r="Q100" s="0" t="n">
        <v>70</v>
      </c>
      <c r="R100" s="116" t="n">
        <v>183</v>
      </c>
      <c r="S100" s="114" t="n">
        <v>0.8</v>
      </c>
      <c r="T100" s="114" t="n">
        <v>1.5</v>
      </c>
      <c r="U100" s="114" t="n">
        <v>0.75</v>
      </c>
      <c r="V100" s="114" t="n">
        <v>0</v>
      </c>
      <c r="W100" s="154" t="s">
        <v>504</v>
      </c>
      <c r="X100" s="114" t="s">
        <v>58</v>
      </c>
      <c r="Y100" s="114" t="s">
        <v>58</v>
      </c>
      <c r="Z100" s="114" t="s">
        <v>58</v>
      </c>
      <c r="AA100" s="114" t="s">
        <v>795</v>
      </c>
      <c r="AB100" s="114" t="s">
        <v>796</v>
      </c>
      <c r="AC100" s="114" t="s">
        <v>506</v>
      </c>
      <c r="AD100" s="0" t="s">
        <v>58</v>
      </c>
      <c r="AE100" s="114" t="s">
        <v>797</v>
      </c>
      <c r="AF100" s="114" t="s">
        <v>798</v>
      </c>
      <c r="AG100" s="0" t="s">
        <v>464</v>
      </c>
      <c r="AH100" s="0" t="s">
        <v>58</v>
      </c>
    </row>
    <row r="101" customFormat="false" ht="14.4" hidden="false" customHeight="false" outlineLevel="0" collapsed="false">
      <c r="A101" s="0" t="n">
        <v>288</v>
      </c>
      <c r="B101" s="0" t="s">
        <v>799</v>
      </c>
      <c r="C101" s="0" t="s">
        <v>429</v>
      </c>
      <c r="D101" s="0" t="s">
        <v>430</v>
      </c>
      <c r="E101" s="0" t="s">
        <v>459</v>
      </c>
      <c r="F101" s="0" t="n">
        <v>1830</v>
      </c>
      <c r="G101" s="0" t="s">
        <v>138</v>
      </c>
      <c r="H101" s="0" t="n">
        <v>217</v>
      </c>
      <c r="I101" s="0" t="n">
        <v>69</v>
      </c>
      <c r="J101" s="0" t="n">
        <v>545</v>
      </c>
      <c r="K101" s="0" t="n">
        <v>190</v>
      </c>
      <c r="L101" s="0" t="n">
        <v>161</v>
      </c>
      <c r="M101" s="0" t="n">
        <v>0</v>
      </c>
      <c r="N101" s="0" t="n">
        <v>10</v>
      </c>
      <c r="O101" s="0" t="n">
        <v>200</v>
      </c>
      <c r="P101" s="0" t="n">
        <v>40</v>
      </c>
      <c r="Q101" s="114" t="n">
        <v>38</v>
      </c>
      <c r="R101" s="144" t="n">
        <v>191</v>
      </c>
      <c r="S101" s="114" t="n">
        <v>0.85</v>
      </c>
      <c r="T101" s="114" t="n">
        <v>1.5</v>
      </c>
      <c r="U101" s="114" t="n">
        <v>0.85</v>
      </c>
      <c r="V101" s="114" t="n">
        <v>0</v>
      </c>
      <c r="W101" s="0" t="s">
        <v>800</v>
      </c>
      <c r="X101" s="0" t="s">
        <v>801</v>
      </c>
      <c r="Y101" s="114" t="s">
        <v>58</v>
      </c>
      <c r="Z101" s="114" t="s">
        <v>58</v>
      </c>
      <c r="AA101" s="0" t="s">
        <v>802</v>
      </c>
      <c r="AB101" s="0" t="s">
        <v>803</v>
      </c>
      <c r="AC101" s="0" t="s">
        <v>803</v>
      </c>
      <c r="AD101" s="0" t="s">
        <v>58</v>
      </c>
      <c r="AE101" s="0" t="s">
        <v>804</v>
      </c>
      <c r="AF101" s="0" t="s">
        <v>805</v>
      </c>
      <c r="AG101" s="0" t="s">
        <v>464</v>
      </c>
      <c r="AH101" s="0" t="s">
        <v>58</v>
      </c>
    </row>
    <row r="102" customFormat="false" ht="14.4" hidden="false" customHeight="false" outlineLevel="0" collapsed="false">
      <c r="A102" s="0" t="n">
        <v>374</v>
      </c>
      <c r="B102" s="0" t="s">
        <v>806</v>
      </c>
      <c r="C102" s="0" t="s">
        <v>437</v>
      </c>
      <c r="D102" s="0" t="s">
        <v>472</v>
      </c>
      <c r="E102" s="0" t="s">
        <v>459</v>
      </c>
      <c r="F102" s="0" t="n">
        <v>2054</v>
      </c>
      <c r="G102" s="0" t="s">
        <v>138</v>
      </c>
      <c r="H102" s="0" t="n">
        <v>201</v>
      </c>
      <c r="I102" s="0" t="n">
        <v>82</v>
      </c>
      <c r="J102" s="0" t="n">
        <v>283</v>
      </c>
      <c r="K102" s="0" t="n">
        <v>160</v>
      </c>
      <c r="L102" s="0" t="n">
        <v>182</v>
      </c>
      <c r="M102" s="0" t="n">
        <v>0</v>
      </c>
      <c r="N102" s="0" t="n">
        <v>8</v>
      </c>
      <c r="O102" s="0" t="n">
        <v>206</v>
      </c>
      <c r="P102" s="0" t="n">
        <v>42</v>
      </c>
      <c r="Q102" s="114" t="n">
        <v>77</v>
      </c>
      <c r="R102" s="144" t="n">
        <v>199</v>
      </c>
      <c r="S102" s="114" t="n">
        <v>1.2</v>
      </c>
      <c r="T102" s="114" t="n">
        <v>1.3</v>
      </c>
      <c r="U102" s="114" t="n">
        <v>1.3</v>
      </c>
      <c r="V102" s="114" t="n">
        <v>0</v>
      </c>
      <c r="W102" s="114" t="s">
        <v>528</v>
      </c>
      <c r="X102" s="114" t="s">
        <v>58</v>
      </c>
      <c r="Y102" s="114" t="s">
        <v>58</v>
      </c>
      <c r="Z102" s="114" t="s">
        <v>58</v>
      </c>
      <c r="AA102" s="0" t="s">
        <v>567</v>
      </c>
      <c r="AB102" s="0" t="s">
        <v>807</v>
      </c>
      <c r="AC102" s="0" t="s">
        <v>58</v>
      </c>
      <c r="AD102" s="0" t="s">
        <v>58</v>
      </c>
      <c r="AE102" s="0" t="s">
        <v>569</v>
      </c>
      <c r="AF102" s="0" t="s">
        <v>464</v>
      </c>
      <c r="AG102" s="0" t="s">
        <v>58</v>
      </c>
      <c r="AH102" s="0" t="s">
        <v>58</v>
      </c>
    </row>
    <row r="103" customFormat="false" ht="14.4" hidden="false" customHeight="false" outlineLevel="0" collapsed="false">
      <c r="A103" s="0" t="n">
        <v>272</v>
      </c>
      <c r="B103" s="0" t="s">
        <v>808</v>
      </c>
      <c r="C103" s="0" t="s">
        <v>429</v>
      </c>
      <c r="D103" s="0" t="s">
        <v>527</v>
      </c>
      <c r="E103" s="0" t="s">
        <v>459</v>
      </c>
      <c r="F103" s="0" t="n">
        <v>1487</v>
      </c>
      <c r="G103" s="0" t="s">
        <v>138</v>
      </c>
      <c r="H103" s="0" t="n">
        <v>196</v>
      </c>
      <c r="I103" s="0" t="n">
        <v>59</v>
      </c>
      <c r="J103" s="0" t="n">
        <v>427</v>
      </c>
      <c r="K103" s="0" t="n">
        <v>193</v>
      </c>
      <c r="L103" s="0" t="n">
        <v>138</v>
      </c>
      <c r="M103" s="0" t="n">
        <v>0</v>
      </c>
      <c r="N103" s="0" t="n">
        <v>7</v>
      </c>
      <c r="O103" s="0" t="n">
        <v>179</v>
      </c>
      <c r="P103" s="0" t="n">
        <v>44</v>
      </c>
      <c r="Q103" s="114" t="n">
        <v>15</v>
      </c>
      <c r="R103" s="151" t="n">
        <v>178</v>
      </c>
      <c r="S103" s="114" t="n">
        <v>0.75</v>
      </c>
      <c r="T103" s="114" t="n">
        <v>1.45</v>
      </c>
      <c r="U103" s="114" t="n">
        <v>0.75</v>
      </c>
      <c r="V103" s="114" t="n">
        <v>0</v>
      </c>
      <c r="W103" s="114" t="s">
        <v>665</v>
      </c>
      <c r="X103" s="114" t="s">
        <v>58</v>
      </c>
      <c r="Y103" s="114" t="s">
        <v>58</v>
      </c>
      <c r="Z103" s="114" t="s">
        <v>58</v>
      </c>
      <c r="AA103" s="0" t="s">
        <v>529</v>
      </c>
      <c r="AB103" s="0" t="s">
        <v>666</v>
      </c>
      <c r="AC103" s="0" t="s">
        <v>58</v>
      </c>
      <c r="AD103" s="0" t="s">
        <v>58</v>
      </c>
      <c r="AE103" s="0" t="s">
        <v>531</v>
      </c>
      <c r="AF103" s="0" t="s">
        <v>464</v>
      </c>
      <c r="AG103" s="0" t="s">
        <v>58</v>
      </c>
      <c r="AH103" s="0" t="s">
        <v>58</v>
      </c>
    </row>
    <row r="104" customFormat="false" ht="14.4" hidden="false" customHeight="false" outlineLevel="0" collapsed="false">
      <c r="A104" s="0" t="n">
        <v>3272</v>
      </c>
      <c r="B104" s="0" t="s">
        <v>809</v>
      </c>
      <c r="C104" s="0" t="s">
        <v>429</v>
      </c>
      <c r="D104" s="0" t="s">
        <v>472</v>
      </c>
      <c r="E104" s="0" t="s">
        <v>74</v>
      </c>
      <c r="F104" s="0" t="n">
        <v>1652</v>
      </c>
      <c r="G104" s="0" t="s">
        <v>138</v>
      </c>
      <c r="H104" s="0" t="n">
        <v>216</v>
      </c>
      <c r="I104" s="0" t="n">
        <v>59</v>
      </c>
      <c r="J104" s="0" t="n">
        <v>462</v>
      </c>
      <c r="K104" s="0" t="n">
        <v>193</v>
      </c>
      <c r="L104" s="0" t="n">
        <v>173</v>
      </c>
      <c r="M104" s="0" t="n">
        <v>0</v>
      </c>
      <c r="N104" s="0" t="n">
        <v>7</v>
      </c>
      <c r="O104" s="0" t="n">
        <v>179</v>
      </c>
      <c r="P104" s="0" t="n">
        <v>47</v>
      </c>
      <c r="Q104" s="0" t="n">
        <v>15</v>
      </c>
      <c r="R104" s="116" t="n">
        <v>178</v>
      </c>
      <c r="S104" s="114" t="n">
        <v>0.75</v>
      </c>
      <c r="T104" s="114" t="n">
        <v>1.5</v>
      </c>
      <c r="U104" s="114" t="n">
        <v>0.8</v>
      </c>
      <c r="V104" s="114" t="n">
        <v>0</v>
      </c>
      <c r="W104" s="114" t="s">
        <v>665</v>
      </c>
      <c r="X104" s="114" t="s">
        <v>58</v>
      </c>
      <c r="Y104" s="114" t="s">
        <v>58</v>
      </c>
      <c r="Z104" s="114" t="s">
        <v>58</v>
      </c>
      <c r="AA104" s="0" t="s">
        <v>529</v>
      </c>
      <c r="AB104" s="0" t="s">
        <v>518</v>
      </c>
      <c r="AC104" s="0" t="s">
        <v>666</v>
      </c>
      <c r="AD104" s="0" t="s">
        <v>58</v>
      </c>
      <c r="AE104" s="0" t="s">
        <v>531</v>
      </c>
      <c r="AF104" s="0" t="s">
        <v>520</v>
      </c>
      <c r="AG104" s="0" t="s">
        <v>464</v>
      </c>
      <c r="AH104" s="0" t="s">
        <v>58</v>
      </c>
    </row>
    <row r="105" customFormat="false" ht="14.4" hidden="false" customHeight="false" outlineLevel="0" collapsed="false">
      <c r="A105" s="0" t="s">
        <v>810</v>
      </c>
      <c r="B105" s="0" t="s">
        <v>811</v>
      </c>
      <c r="C105" s="0" t="s">
        <v>429</v>
      </c>
      <c r="D105" s="0" t="s">
        <v>812</v>
      </c>
      <c r="E105" s="0" t="s">
        <v>74</v>
      </c>
      <c r="F105" s="0" t="n">
        <v>2641</v>
      </c>
      <c r="G105" s="0" t="s">
        <v>138</v>
      </c>
      <c r="H105" s="0" t="n">
        <v>223</v>
      </c>
      <c r="I105" s="0" t="n">
        <v>86</v>
      </c>
      <c r="J105" s="0" t="n">
        <v>393</v>
      </c>
      <c r="K105" s="0" t="n">
        <v>197</v>
      </c>
      <c r="L105" s="0" t="n">
        <v>197</v>
      </c>
      <c r="M105" s="0" t="n">
        <v>0</v>
      </c>
      <c r="N105" s="0" t="n">
        <v>11</v>
      </c>
      <c r="O105" s="0" t="n">
        <v>122</v>
      </c>
      <c r="P105" s="0" t="n">
        <v>44</v>
      </c>
      <c r="Q105" s="0" t="n">
        <v>0</v>
      </c>
      <c r="R105" s="151" t="n">
        <v>208</v>
      </c>
      <c r="S105" s="114" t="n">
        <v>1.05</v>
      </c>
      <c r="T105" s="114" t="n">
        <v>1.35</v>
      </c>
      <c r="U105" s="114" t="n">
        <v>1.35</v>
      </c>
      <c r="V105" s="114" t="n">
        <v>0</v>
      </c>
      <c r="W105" s="0" t="s">
        <v>813</v>
      </c>
      <c r="X105" s="0" t="s">
        <v>814</v>
      </c>
      <c r="Y105" s="0" t="s">
        <v>815</v>
      </c>
      <c r="Z105" s="114" t="s">
        <v>58</v>
      </c>
      <c r="AA105" s="0" t="s">
        <v>816</v>
      </c>
      <c r="AB105" s="0" t="s">
        <v>817</v>
      </c>
      <c r="AC105" s="0" t="s">
        <v>818</v>
      </c>
      <c r="AD105" s="0" t="s">
        <v>819</v>
      </c>
      <c r="AE105" s="0" t="s">
        <v>820</v>
      </c>
      <c r="AF105" s="0" t="s">
        <v>821</v>
      </c>
      <c r="AG105" s="0" t="s">
        <v>822</v>
      </c>
      <c r="AH105" s="0" t="s">
        <v>464</v>
      </c>
    </row>
    <row r="106" customFormat="false" ht="14.4" hidden="false" customHeight="false" outlineLevel="0" collapsed="false">
      <c r="A106" s="0" t="n">
        <v>293</v>
      </c>
      <c r="B106" s="0" t="s">
        <v>823</v>
      </c>
      <c r="C106" s="0" t="s">
        <v>429</v>
      </c>
      <c r="D106" s="0" t="s">
        <v>472</v>
      </c>
      <c r="E106" s="0" t="s">
        <v>74</v>
      </c>
      <c r="F106" s="0" t="n">
        <v>2055</v>
      </c>
      <c r="G106" s="0" t="s">
        <v>138</v>
      </c>
      <c r="H106" s="0" t="n">
        <v>210</v>
      </c>
      <c r="I106" s="0" t="n">
        <v>59</v>
      </c>
      <c r="J106" s="0" t="n">
        <v>497</v>
      </c>
      <c r="K106" s="0" t="n">
        <v>191</v>
      </c>
      <c r="L106" s="0" t="n">
        <v>138</v>
      </c>
      <c r="M106" s="0" t="n">
        <v>0</v>
      </c>
      <c r="N106" s="0" t="n">
        <v>8</v>
      </c>
      <c r="O106" s="0" t="n">
        <v>184</v>
      </c>
      <c r="P106" s="0" t="n">
        <v>42</v>
      </c>
      <c r="Q106" s="0" t="n">
        <v>46</v>
      </c>
      <c r="R106" s="116" t="n">
        <v>194</v>
      </c>
      <c r="S106" s="114" t="n">
        <v>0.75</v>
      </c>
      <c r="T106" s="114" t="n">
        <v>1.5</v>
      </c>
      <c r="U106" s="114" t="n">
        <v>0.75</v>
      </c>
      <c r="V106" s="114" t="n">
        <v>0</v>
      </c>
      <c r="W106" s="114" t="s">
        <v>824</v>
      </c>
      <c r="X106" s="114" t="s">
        <v>58</v>
      </c>
      <c r="Y106" s="114" t="s">
        <v>58</v>
      </c>
      <c r="Z106" s="114" t="s">
        <v>58</v>
      </c>
      <c r="AA106" s="114" t="s">
        <v>592</v>
      </c>
      <c r="AB106" s="114" t="s">
        <v>825</v>
      </c>
      <c r="AC106" s="114" t="s">
        <v>464</v>
      </c>
      <c r="AD106" s="114" t="s">
        <v>58</v>
      </c>
      <c r="AE106" s="114" t="s">
        <v>826</v>
      </c>
      <c r="AF106" s="114" t="s">
        <v>827</v>
      </c>
      <c r="AG106" s="114" t="s">
        <v>828</v>
      </c>
      <c r="AH106" s="114" t="s">
        <v>58</v>
      </c>
    </row>
    <row r="107" customFormat="false" ht="14.4" hidden="false" customHeight="false" outlineLevel="0" collapsed="false">
      <c r="A107" s="0" t="s">
        <v>829</v>
      </c>
      <c r="B107" s="0" t="s">
        <v>830</v>
      </c>
      <c r="C107" s="0" t="s">
        <v>831</v>
      </c>
      <c r="D107" s="0" t="s">
        <v>438</v>
      </c>
      <c r="E107" s="0" t="s">
        <v>74</v>
      </c>
      <c r="F107" s="0" t="n">
        <v>1768</v>
      </c>
      <c r="G107" s="0" t="s">
        <v>138</v>
      </c>
      <c r="H107" s="0" t="n">
        <v>201</v>
      </c>
      <c r="I107" s="0" t="n">
        <v>74</v>
      </c>
      <c r="J107" s="0" t="n">
        <v>473</v>
      </c>
      <c r="K107" s="0" t="n">
        <v>194</v>
      </c>
      <c r="L107" s="0" t="n">
        <v>167</v>
      </c>
      <c r="M107" s="0" t="n">
        <v>0</v>
      </c>
      <c r="N107" s="0" t="n">
        <v>9</v>
      </c>
      <c r="O107" s="0" t="n">
        <v>223</v>
      </c>
      <c r="P107" s="0" t="n">
        <v>42</v>
      </c>
      <c r="Q107" s="0" t="n">
        <v>66</v>
      </c>
      <c r="R107" s="151" t="n">
        <v>180</v>
      </c>
      <c r="S107" s="114" t="n">
        <v>0.75</v>
      </c>
      <c r="T107" s="114" t="n">
        <v>1.6</v>
      </c>
      <c r="U107" s="114" t="n">
        <v>1.05</v>
      </c>
      <c r="V107" s="114" t="n">
        <v>0</v>
      </c>
      <c r="W107" s="114" t="s">
        <v>58</v>
      </c>
      <c r="X107" s="0" t="s">
        <v>832</v>
      </c>
      <c r="Y107" s="114" t="s">
        <v>58</v>
      </c>
      <c r="Z107" s="114" t="s">
        <v>58</v>
      </c>
      <c r="AA107" s="0" t="s">
        <v>833</v>
      </c>
      <c r="AB107" s="0" t="s">
        <v>834</v>
      </c>
      <c r="AC107" s="0" t="s">
        <v>58</v>
      </c>
      <c r="AD107" s="0" t="s">
        <v>58</v>
      </c>
      <c r="AE107" s="0" t="s">
        <v>835</v>
      </c>
      <c r="AF107" s="0" t="s">
        <v>836</v>
      </c>
      <c r="AG107" s="0" t="s">
        <v>58</v>
      </c>
      <c r="AH107" s="0" t="s">
        <v>58</v>
      </c>
    </row>
    <row r="108" customFormat="false" ht="14.4" hidden="false" customHeight="false" outlineLevel="0" collapsed="false">
      <c r="A108" s="0" t="n">
        <v>177</v>
      </c>
      <c r="B108" s="0" t="s">
        <v>837</v>
      </c>
      <c r="C108" s="0" t="s">
        <v>429</v>
      </c>
      <c r="D108" s="0" t="s">
        <v>472</v>
      </c>
      <c r="E108" s="0" t="s">
        <v>459</v>
      </c>
      <c r="F108" s="0" t="n">
        <v>2083</v>
      </c>
      <c r="G108" s="0" t="s">
        <v>138</v>
      </c>
      <c r="H108" s="0" t="n">
        <v>201</v>
      </c>
      <c r="I108" s="0" t="n">
        <v>65</v>
      </c>
      <c r="J108" s="0" t="n">
        <v>512</v>
      </c>
      <c r="K108" s="0" t="n">
        <v>191</v>
      </c>
      <c r="L108" s="0" t="n">
        <v>150</v>
      </c>
      <c r="M108" s="0" t="n">
        <v>0</v>
      </c>
      <c r="N108" s="0" t="n">
        <v>8</v>
      </c>
      <c r="O108" s="0" t="n">
        <v>189</v>
      </c>
      <c r="P108" s="0" t="n">
        <v>42</v>
      </c>
      <c r="Q108" s="114" t="n">
        <v>34</v>
      </c>
      <c r="R108" s="151" t="n">
        <v>184</v>
      </c>
      <c r="S108" s="114" t="n">
        <v>0.75</v>
      </c>
      <c r="T108" s="114" t="n">
        <v>1.5</v>
      </c>
      <c r="U108" s="114" t="n">
        <v>0.75</v>
      </c>
      <c r="V108" s="114" t="n">
        <v>0</v>
      </c>
      <c r="W108" s="152" t="s">
        <v>691</v>
      </c>
      <c r="X108" s="114" t="s">
        <v>58</v>
      </c>
      <c r="Y108" s="114" t="s">
        <v>58</v>
      </c>
      <c r="Z108" s="114" t="s">
        <v>58</v>
      </c>
      <c r="AA108" s="0" t="s">
        <v>590</v>
      </c>
      <c r="AB108" s="0" t="s">
        <v>518</v>
      </c>
      <c r="AC108" s="0" t="s">
        <v>693</v>
      </c>
      <c r="AD108" s="0" t="s">
        <v>58</v>
      </c>
      <c r="AE108" s="0" t="s">
        <v>592</v>
      </c>
      <c r="AF108" s="0" t="s">
        <v>520</v>
      </c>
      <c r="AG108" s="0" t="s">
        <v>464</v>
      </c>
      <c r="AH108" s="0" t="s">
        <v>58</v>
      </c>
    </row>
    <row r="109" customFormat="false" ht="14.4" hidden="false" customHeight="false" outlineLevel="0" collapsed="false">
      <c r="A109" s="0" t="n">
        <v>19</v>
      </c>
      <c r="B109" s="0" t="s">
        <v>25</v>
      </c>
      <c r="C109" s="0" t="s">
        <v>437</v>
      </c>
      <c r="D109" s="0" t="s">
        <v>438</v>
      </c>
      <c r="E109" s="0" t="s">
        <v>459</v>
      </c>
      <c r="F109" s="0" t="n">
        <v>1980</v>
      </c>
      <c r="G109" s="0" t="s">
        <v>138</v>
      </c>
      <c r="H109" s="0" t="n">
        <v>220</v>
      </c>
      <c r="I109" s="0" t="n">
        <v>101</v>
      </c>
      <c r="J109" s="0" t="n">
        <v>302</v>
      </c>
      <c r="K109" s="0" t="n">
        <v>163</v>
      </c>
      <c r="L109" s="0" t="n">
        <v>176</v>
      </c>
      <c r="M109" s="0" t="n">
        <v>0</v>
      </c>
      <c r="N109" s="0" t="n">
        <v>9</v>
      </c>
      <c r="O109" s="0" t="n">
        <v>199</v>
      </c>
      <c r="P109" s="0" t="n">
        <v>45</v>
      </c>
      <c r="Q109" s="114" t="n">
        <v>18</v>
      </c>
      <c r="R109" s="151" t="n">
        <v>205</v>
      </c>
      <c r="S109" s="114" t="n">
        <v>1.4</v>
      </c>
      <c r="T109" s="114" t="n">
        <v>1.25</v>
      </c>
      <c r="U109" s="114" t="n">
        <v>1.25</v>
      </c>
      <c r="V109" s="114" t="n">
        <v>0</v>
      </c>
      <c r="W109" s="0" t="s">
        <v>838</v>
      </c>
      <c r="X109" s="114"/>
      <c r="Y109" s="114" t="s">
        <v>58</v>
      </c>
      <c r="Z109" s="114" t="s">
        <v>58</v>
      </c>
      <c r="AA109" s="0" t="s">
        <v>839</v>
      </c>
      <c r="AB109" s="0" t="s">
        <v>840</v>
      </c>
      <c r="AC109" s="0" t="s">
        <v>58</v>
      </c>
      <c r="AD109" s="0" t="s">
        <v>58</v>
      </c>
      <c r="AE109" s="0" t="s">
        <v>841</v>
      </c>
      <c r="AF109" s="0" t="s">
        <v>464</v>
      </c>
      <c r="AG109" s="0" t="s">
        <v>58</v>
      </c>
      <c r="AH109" s="0" t="s">
        <v>58</v>
      </c>
    </row>
    <row r="110" customFormat="false" ht="14.4" hidden="false" customHeight="false" outlineLevel="0" collapsed="false">
      <c r="A110" s="0" t="n">
        <v>3019</v>
      </c>
      <c r="B110" s="0" t="s">
        <v>842</v>
      </c>
      <c r="C110" s="0" t="s">
        <v>437</v>
      </c>
      <c r="D110" s="0" t="s">
        <v>430</v>
      </c>
      <c r="E110" s="0" t="s">
        <v>459</v>
      </c>
      <c r="F110" s="0" t="n">
        <v>2145</v>
      </c>
      <c r="G110" s="0" t="s">
        <v>138</v>
      </c>
      <c r="H110" s="0" t="n">
        <v>220</v>
      </c>
      <c r="I110" s="0" t="n">
        <v>161</v>
      </c>
      <c r="J110" s="0" t="n">
        <v>342</v>
      </c>
      <c r="K110" s="0" t="n">
        <v>203</v>
      </c>
      <c r="L110" s="0" t="n">
        <v>176</v>
      </c>
      <c r="M110" s="0" t="n">
        <v>0</v>
      </c>
      <c r="N110" s="0" t="n">
        <v>9</v>
      </c>
      <c r="O110" s="0" t="n">
        <v>199</v>
      </c>
      <c r="P110" s="0" t="n">
        <v>45</v>
      </c>
      <c r="Q110" s="114" t="n">
        <v>18</v>
      </c>
      <c r="R110" s="151" t="n">
        <v>205</v>
      </c>
      <c r="S110" s="114" t="n">
        <v>1.65</v>
      </c>
      <c r="T110" s="114" t="n">
        <v>1.25</v>
      </c>
      <c r="U110" s="114" t="n">
        <v>1.25</v>
      </c>
      <c r="V110" s="114" t="n">
        <v>0</v>
      </c>
      <c r="W110" s="0" t="s">
        <v>838</v>
      </c>
      <c r="X110" s="0" t="s">
        <v>843</v>
      </c>
      <c r="Y110" s="0" t="s">
        <v>844</v>
      </c>
      <c r="Z110" s="114" t="s">
        <v>58</v>
      </c>
      <c r="AA110" s="0" t="s">
        <v>839</v>
      </c>
      <c r="AB110" s="0" t="s">
        <v>845</v>
      </c>
      <c r="AC110" s="0" t="s">
        <v>840</v>
      </c>
      <c r="AD110" s="0" t="s">
        <v>58</v>
      </c>
      <c r="AE110" s="0" t="s">
        <v>841</v>
      </c>
      <c r="AF110" s="0" t="s">
        <v>846</v>
      </c>
      <c r="AG110" s="0" t="s">
        <v>464</v>
      </c>
      <c r="AH110" s="0" t="s">
        <v>58</v>
      </c>
    </row>
    <row r="111" customFormat="false" ht="14.4" hidden="false" customHeight="false" outlineLevel="0" collapsed="false">
      <c r="A111" s="0" t="n">
        <v>394</v>
      </c>
      <c r="B111" s="0" t="s">
        <v>847</v>
      </c>
      <c r="C111" s="0" t="s">
        <v>848</v>
      </c>
      <c r="D111" s="0" t="s">
        <v>430</v>
      </c>
      <c r="E111" s="0" t="s">
        <v>74</v>
      </c>
      <c r="F111" s="0" t="n">
        <v>2021</v>
      </c>
      <c r="G111" s="0" t="s">
        <v>138</v>
      </c>
      <c r="H111" s="0" t="n">
        <v>206</v>
      </c>
      <c r="I111" s="0" t="n">
        <v>137</v>
      </c>
      <c r="J111" s="0" t="n">
        <v>273</v>
      </c>
      <c r="K111" s="0" t="n">
        <v>213</v>
      </c>
      <c r="L111" s="0" t="n">
        <v>138</v>
      </c>
      <c r="M111" s="0" t="n">
        <v>0</v>
      </c>
      <c r="N111" s="0" t="n">
        <v>10</v>
      </c>
      <c r="O111" s="0" t="n">
        <v>192</v>
      </c>
      <c r="P111" s="0" t="n">
        <v>54</v>
      </c>
      <c r="Q111" s="114" t="n">
        <v>51</v>
      </c>
      <c r="R111" s="151" t="n">
        <v>186</v>
      </c>
      <c r="S111" s="114" t="n">
        <v>1.5</v>
      </c>
      <c r="T111" s="114" t="n">
        <v>1.25</v>
      </c>
      <c r="U111" s="114" t="n">
        <v>1.2</v>
      </c>
      <c r="V111" s="114" t="n">
        <v>0</v>
      </c>
      <c r="W111" s="0" t="s">
        <v>849</v>
      </c>
      <c r="X111" s="0" t="s">
        <v>850</v>
      </c>
      <c r="Y111" s="114" t="s">
        <v>58</v>
      </c>
      <c r="Z111" s="114" t="s">
        <v>58</v>
      </c>
      <c r="AA111" s="0" t="s">
        <v>851</v>
      </c>
      <c r="AB111" s="0" t="s">
        <v>852</v>
      </c>
      <c r="AC111" s="0" t="s">
        <v>853</v>
      </c>
      <c r="AD111" s="0" t="s">
        <v>58</v>
      </c>
      <c r="AE111" s="0" t="s">
        <v>854</v>
      </c>
      <c r="AF111" s="0" t="s">
        <v>855</v>
      </c>
      <c r="AG111" s="0" t="s">
        <v>464</v>
      </c>
      <c r="AH111" s="0" t="s">
        <v>58</v>
      </c>
    </row>
    <row r="112" customFormat="false" ht="14.4" hidden="false" customHeight="false" outlineLevel="0" collapsed="false">
      <c r="A112" s="0" t="n">
        <v>351</v>
      </c>
      <c r="B112" s="0" t="s">
        <v>856</v>
      </c>
      <c r="C112" s="0" t="s">
        <v>848</v>
      </c>
      <c r="D112" s="0" t="s">
        <v>472</v>
      </c>
      <c r="E112" s="0" t="s">
        <v>459</v>
      </c>
      <c r="F112" s="0" t="n">
        <v>1376</v>
      </c>
      <c r="G112" s="0" t="s">
        <v>138</v>
      </c>
      <c r="H112" s="0" t="n">
        <v>193</v>
      </c>
      <c r="I112" s="0" t="n">
        <v>69</v>
      </c>
      <c r="J112" s="0" t="n">
        <v>409</v>
      </c>
      <c r="K112" s="0" t="n">
        <v>200</v>
      </c>
      <c r="L112" s="0" t="n">
        <v>138</v>
      </c>
      <c r="M112" s="0" t="n">
        <v>0</v>
      </c>
      <c r="N112" s="0" t="n">
        <v>8</v>
      </c>
      <c r="O112" s="0" t="n">
        <v>187</v>
      </c>
      <c r="P112" s="0" t="n">
        <v>42</v>
      </c>
      <c r="Q112" s="114" t="n">
        <v>24</v>
      </c>
      <c r="R112" s="151" t="n">
        <v>186</v>
      </c>
      <c r="S112" s="114" t="n">
        <v>1.15</v>
      </c>
      <c r="T112" s="114" t="n">
        <v>1.4</v>
      </c>
      <c r="U112" s="114" t="n">
        <v>0.75</v>
      </c>
      <c r="V112" s="114" t="n">
        <v>0</v>
      </c>
      <c r="W112" s="0" t="s">
        <v>640</v>
      </c>
      <c r="X112" s="114" t="s">
        <v>58</v>
      </c>
      <c r="Y112" s="114" t="s">
        <v>58</v>
      </c>
      <c r="Z112" s="114" t="s">
        <v>58</v>
      </c>
      <c r="AA112" s="0" t="s">
        <v>857</v>
      </c>
      <c r="AB112" s="0" t="s">
        <v>642</v>
      </c>
      <c r="AC112" s="0" t="s">
        <v>58</v>
      </c>
      <c r="AD112" s="0" t="s">
        <v>58</v>
      </c>
      <c r="AE112" s="0" t="s">
        <v>858</v>
      </c>
      <c r="AF112" s="0" t="s">
        <v>464</v>
      </c>
      <c r="AG112" s="0" t="s">
        <v>58</v>
      </c>
      <c r="AH112" s="0" t="s">
        <v>58</v>
      </c>
    </row>
    <row r="113" customFormat="false" ht="15" hidden="false" customHeight="true" outlineLevel="0" collapsed="false">
      <c r="A113" s="0" t="n">
        <v>3351</v>
      </c>
      <c r="B113" s="0" t="s">
        <v>859</v>
      </c>
      <c r="C113" s="0" t="s">
        <v>848</v>
      </c>
      <c r="D113" s="0" t="s">
        <v>438</v>
      </c>
      <c r="E113" s="0" t="s">
        <v>459</v>
      </c>
      <c r="F113" s="0" t="n">
        <v>1436</v>
      </c>
      <c r="G113" s="0" t="s">
        <v>138</v>
      </c>
      <c r="H113" s="0" t="n">
        <v>193</v>
      </c>
      <c r="I113" s="0" t="n">
        <v>89</v>
      </c>
      <c r="J113" s="0" t="n">
        <v>439</v>
      </c>
      <c r="K113" s="0" t="n">
        <v>200</v>
      </c>
      <c r="L113" s="0" t="n">
        <v>183</v>
      </c>
      <c r="M113" s="0" t="n">
        <v>0</v>
      </c>
      <c r="N113" s="0" t="n">
        <v>8</v>
      </c>
      <c r="O113" s="0" t="n">
        <v>202</v>
      </c>
      <c r="P113" s="0" t="n">
        <v>42</v>
      </c>
      <c r="Q113" s="114" t="n">
        <v>24</v>
      </c>
      <c r="R113" s="144" t="n">
        <v>186</v>
      </c>
      <c r="S113" s="114" t="n">
        <v>1.2</v>
      </c>
      <c r="T113" s="114" t="n">
        <v>1.45</v>
      </c>
      <c r="U113" s="114" t="n">
        <v>0.8</v>
      </c>
      <c r="V113" s="114" t="n">
        <v>0</v>
      </c>
      <c r="W113" s="0" t="s">
        <v>640</v>
      </c>
      <c r="X113" s="114" t="s">
        <v>58</v>
      </c>
      <c r="Y113" s="114" t="s">
        <v>58</v>
      </c>
      <c r="Z113" s="114" t="s">
        <v>58</v>
      </c>
      <c r="AA113" s="0" t="s">
        <v>857</v>
      </c>
      <c r="AB113" s="0" t="s">
        <v>555</v>
      </c>
      <c r="AC113" s="0" t="s">
        <v>642</v>
      </c>
      <c r="AD113" s="0" t="s">
        <v>58</v>
      </c>
      <c r="AE113" s="0" t="s">
        <v>858</v>
      </c>
      <c r="AF113" s="0" t="s">
        <v>557</v>
      </c>
      <c r="AG113" s="0" t="s">
        <v>464</v>
      </c>
      <c r="AH113" s="0" t="s">
        <v>58</v>
      </c>
    </row>
    <row r="114" customFormat="false" ht="14.4" hidden="false" customHeight="false" outlineLevel="0" collapsed="false">
      <c r="A114" s="0" t="n">
        <v>359</v>
      </c>
      <c r="B114" s="0" t="s">
        <v>860</v>
      </c>
      <c r="C114" s="0" t="s">
        <v>639</v>
      </c>
      <c r="D114" s="0" t="s">
        <v>438</v>
      </c>
      <c r="E114" s="0" t="s">
        <v>459</v>
      </c>
      <c r="F114" s="0" t="n">
        <v>1571</v>
      </c>
      <c r="G114" s="0" t="s">
        <v>138</v>
      </c>
      <c r="H114" s="0" t="n">
        <v>192</v>
      </c>
      <c r="I114" s="0" t="n">
        <v>93</v>
      </c>
      <c r="J114" s="0" t="n">
        <v>394</v>
      </c>
      <c r="K114" s="0" t="n">
        <v>189</v>
      </c>
      <c r="L114" s="0" t="n">
        <v>172</v>
      </c>
      <c r="M114" s="0" t="n">
        <v>0</v>
      </c>
      <c r="N114" s="0" t="n">
        <v>9</v>
      </c>
      <c r="O114" s="0" t="n">
        <v>187</v>
      </c>
      <c r="P114" s="0" t="n">
        <v>42</v>
      </c>
      <c r="Q114" s="114" t="n">
        <v>41</v>
      </c>
      <c r="R114" s="151" t="n">
        <v>189</v>
      </c>
      <c r="S114" s="114" t="n">
        <v>1.3</v>
      </c>
      <c r="T114" s="114" t="n">
        <v>1.15</v>
      </c>
      <c r="U114" s="114" t="n">
        <v>0.75</v>
      </c>
      <c r="V114" s="114" t="n">
        <v>0</v>
      </c>
      <c r="W114" s="0" t="s">
        <v>861</v>
      </c>
      <c r="X114" s="114" t="s">
        <v>58</v>
      </c>
      <c r="Y114" s="114" t="s">
        <v>58</v>
      </c>
      <c r="Z114" s="114" t="s">
        <v>58</v>
      </c>
      <c r="AA114" s="0" t="s">
        <v>862</v>
      </c>
      <c r="AB114" s="0" t="s">
        <v>863</v>
      </c>
      <c r="AC114" s="0" t="s">
        <v>864</v>
      </c>
      <c r="AD114" s="0" t="s">
        <v>58</v>
      </c>
      <c r="AE114" s="0" t="s">
        <v>865</v>
      </c>
      <c r="AF114" s="0" t="s">
        <v>866</v>
      </c>
      <c r="AG114" s="0" t="s">
        <v>464</v>
      </c>
      <c r="AH114" s="0" t="s">
        <v>58</v>
      </c>
    </row>
    <row r="115" customFormat="false" ht="14.4" hidden="false" customHeight="false" outlineLevel="0" collapsed="false">
      <c r="A115" s="0" t="n">
        <v>347</v>
      </c>
      <c r="B115" s="0" t="s">
        <v>867</v>
      </c>
      <c r="C115" s="0" t="s">
        <v>639</v>
      </c>
      <c r="D115" s="0" t="s">
        <v>430</v>
      </c>
      <c r="E115" s="0" t="s">
        <v>459</v>
      </c>
      <c r="F115" s="0" t="n">
        <v>2021</v>
      </c>
      <c r="G115" s="0" t="s">
        <v>138</v>
      </c>
      <c r="H115" s="0" t="n">
        <v>207</v>
      </c>
      <c r="I115" s="0" t="n">
        <v>131</v>
      </c>
      <c r="J115" s="0" t="n">
        <v>267</v>
      </c>
      <c r="K115" s="0" t="n">
        <v>213</v>
      </c>
      <c r="L115" s="0" t="n">
        <v>167</v>
      </c>
      <c r="M115" s="0" t="n">
        <v>0</v>
      </c>
      <c r="N115" s="0" t="n">
        <v>10</v>
      </c>
      <c r="O115" s="0" t="n">
        <v>207</v>
      </c>
      <c r="P115" s="0" t="n">
        <v>54</v>
      </c>
      <c r="Q115" s="114" t="n">
        <v>77</v>
      </c>
      <c r="R115" s="144" t="n">
        <v>186</v>
      </c>
      <c r="S115" s="114" t="n">
        <v>1.4</v>
      </c>
      <c r="T115" s="114" t="n">
        <v>1.25</v>
      </c>
      <c r="U115" s="114" t="n">
        <v>1.4</v>
      </c>
      <c r="V115" s="114" t="n">
        <v>0</v>
      </c>
      <c r="W115" s="0" t="s">
        <v>868</v>
      </c>
      <c r="X115" s="0" t="s">
        <v>869</v>
      </c>
      <c r="Y115" s="114" t="s">
        <v>870</v>
      </c>
      <c r="Z115" s="114" t="s">
        <v>871</v>
      </c>
      <c r="AA115" s="0" t="s">
        <v>872</v>
      </c>
      <c r="AB115" s="0" t="s">
        <v>873</v>
      </c>
      <c r="AC115" s="0" t="s">
        <v>874</v>
      </c>
      <c r="AD115" s="0" t="s">
        <v>58</v>
      </c>
      <c r="AE115" s="0" t="s">
        <v>875</v>
      </c>
      <c r="AF115" s="0" t="s">
        <v>876</v>
      </c>
      <c r="AG115" s="0" t="s">
        <v>464</v>
      </c>
      <c r="AH115" s="0" t="s">
        <v>58</v>
      </c>
    </row>
    <row r="116" customFormat="false" ht="14.4" hidden="false" customHeight="false" outlineLevel="0" collapsed="false">
      <c r="B116" s="0" t="s">
        <v>877</v>
      </c>
      <c r="C116" s="0" t="s">
        <v>878</v>
      </c>
      <c r="D116" s="0" t="s">
        <v>438</v>
      </c>
      <c r="E116" s="0" t="s">
        <v>74</v>
      </c>
      <c r="F116" s="0" t="n">
        <v>1772</v>
      </c>
      <c r="G116" s="0" t="s">
        <v>138</v>
      </c>
      <c r="H116" s="0" t="n">
        <v>196</v>
      </c>
      <c r="I116" s="0" t="n">
        <v>103</v>
      </c>
      <c r="J116" s="0" t="n">
        <v>370</v>
      </c>
      <c r="K116" s="0" t="n">
        <v>178</v>
      </c>
      <c r="L116" s="0" t="n">
        <v>204</v>
      </c>
      <c r="M116" s="0" t="n">
        <v>0</v>
      </c>
      <c r="N116" s="0" t="n">
        <v>9</v>
      </c>
      <c r="O116" s="0" t="n">
        <v>193</v>
      </c>
      <c r="P116" s="0" t="n">
        <v>42</v>
      </c>
      <c r="Q116" s="114" t="n">
        <v>45</v>
      </c>
      <c r="R116" s="151" t="n">
        <v>194</v>
      </c>
      <c r="S116" s="114" t="n">
        <v>1.3</v>
      </c>
      <c r="T116" s="114" t="n">
        <v>1.35</v>
      </c>
      <c r="U116" s="114" t="n">
        <v>0.75</v>
      </c>
      <c r="V116" s="114" t="n">
        <v>0</v>
      </c>
      <c r="W116" s="0" t="s">
        <v>861</v>
      </c>
      <c r="X116" s="114" t="s">
        <v>58</v>
      </c>
      <c r="Y116" s="114" t="s">
        <v>58</v>
      </c>
      <c r="Z116" s="114" t="s">
        <v>58</v>
      </c>
      <c r="AA116" s="0" t="s">
        <v>879</v>
      </c>
      <c r="AB116" s="0" t="s">
        <v>880</v>
      </c>
      <c r="AC116" s="0" t="s">
        <v>864</v>
      </c>
      <c r="AD116" s="0" t="s">
        <v>58</v>
      </c>
      <c r="AE116" s="0" t="s">
        <v>881</v>
      </c>
      <c r="AF116" s="0" t="s">
        <v>724</v>
      </c>
      <c r="AG116" s="0" t="s">
        <v>464</v>
      </c>
      <c r="AH116" s="0" t="s">
        <v>58</v>
      </c>
    </row>
    <row r="117" customFormat="false" ht="14.4" hidden="false" customHeight="false" outlineLevel="0" collapsed="false">
      <c r="A117" s="0" t="n">
        <v>370</v>
      </c>
      <c r="B117" s="0" t="s">
        <v>882</v>
      </c>
      <c r="C117" s="0" t="s">
        <v>429</v>
      </c>
      <c r="D117" s="0" t="s">
        <v>438</v>
      </c>
      <c r="E117" s="0" t="s">
        <v>459</v>
      </c>
      <c r="F117" s="0" t="n">
        <v>2157</v>
      </c>
      <c r="G117" s="0" t="s">
        <v>138</v>
      </c>
      <c r="H117" s="0" t="n">
        <v>215</v>
      </c>
      <c r="I117" s="0" t="n">
        <v>70</v>
      </c>
      <c r="J117" s="0" t="n">
        <v>526</v>
      </c>
      <c r="K117" s="0" t="n">
        <v>191</v>
      </c>
      <c r="L117" s="0" t="n">
        <v>156</v>
      </c>
      <c r="M117" s="0" t="n">
        <v>0</v>
      </c>
      <c r="N117" s="0" t="n">
        <v>9</v>
      </c>
      <c r="O117" s="0" t="n">
        <v>193</v>
      </c>
      <c r="P117" s="0" t="n">
        <v>42</v>
      </c>
      <c r="Q117" s="114" t="n">
        <v>40</v>
      </c>
      <c r="R117" s="151" t="n">
        <v>189</v>
      </c>
      <c r="S117" s="114" t="n">
        <v>0.8</v>
      </c>
      <c r="T117" s="114" t="n">
        <v>1.55</v>
      </c>
      <c r="U117" s="114" t="n">
        <v>0.75</v>
      </c>
      <c r="V117" s="114" t="n">
        <v>0</v>
      </c>
      <c r="W117" s="0" t="s">
        <v>824</v>
      </c>
      <c r="X117" s="114" t="s">
        <v>58</v>
      </c>
      <c r="Y117" s="114" t="s">
        <v>58</v>
      </c>
      <c r="Z117" s="114" t="s">
        <v>58</v>
      </c>
      <c r="AA117" s="0" t="s">
        <v>590</v>
      </c>
      <c r="AB117" s="0" t="s">
        <v>518</v>
      </c>
      <c r="AC117" s="0" t="s">
        <v>883</v>
      </c>
      <c r="AD117" s="0" t="s">
        <v>58</v>
      </c>
      <c r="AE117" s="0" t="s">
        <v>592</v>
      </c>
      <c r="AF117" s="0" t="s">
        <v>520</v>
      </c>
      <c r="AG117" s="0" t="s">
        <v>464</v>
      </c>
      <c r="AH117" s="0" t="s">
        <v>58</v>
      </c>
    </row>
    <row r="118" customFormat="false" ht="14.4" hidden="false" customHeight="false" outlineLevel="0" collapsed="false">
      <c r="A118" s="0" t="n">
        <v>325</v>
      </c>
      <c r="B118" s="0" t="s">
        <v>884</v>
      </c>
      <c r="C118" s="0" t="s">
        <v>471</v>
      </c>
      <c r="D118" s="0" t="s">
        <v>438</v>
      </c>
      <c r="E118" s="0" t="s">
        <v>459</v>
      </c>
      <c r="F118" s="0" t="n">
        <v>1683</v>
      </c>
      <c r="G118" s="0" t="s">
        <v>138</v>
      </c>
      <c r="H118" s="0" t="n">
        <v>201</v>
      </c>
      <c r="I118" s="0" t="n">
        <v>76</v>
      </c>
      <c r="J118" s="0" t="n">
        <v>394</v>
      </c>
      <c r="K118" s="0" t="n">
        <v>210</v>
      </c>
      <c r="L118" s="0" t="n">
        <v>157</v>
      </c>
      <c r="M118" s="0" t="n">
        <v>0</v>
      </c>
      <c r="N118" s="0" t="n">
        <v>9</v>
      </c>
      <c r="O118" s="0" t="n">
        <v>223</v>
      </c>
      <c r="P118" s="0" t="n">
        <v>43</v>
      </c>
      <c r="Q118" s="114" t="n">
        <v>76</v>
      </c>
      <c r="R118" s="151" t="n">
        <v>180</v>
      </c>
      <c r="S118" s="114" t="n">
        <v>1.2</v>
      </c>
      <c r="T118" s="114" t="n">
        <v>1.45</v>
      </c>
      <c r="U118" s="114" t="n">
        <v>1</v>
      </c>
      <c r="V118" s="114" t="n">
        <v>0</v>
      </c>
      <c r="W118" s="0" t="s">
        <v>885</v>
      </c>
      <c r="X118" s="114" t="s">
        <v>58</v>
      </c>
      <c r="Y118" s="114" t="s">
        <v>58</v>
      </c>
      <c r="Z118" s="114" t="s">
        <v>58</v>
      </c>
      <c r="AA118" s="0" t="s">
        <v>886</v>
      </c>
      <c r="AB118" s="0" t="s">
        <v>887</v>
      </c>
      <c r="AC118" s="0" t="s">
        <v>888</v>
      </c>
      <c r="AD118" s="0" t="s">
        <v>58</v>
      </c>
      <c r="AE118" s="0" t="s">
        <v>889</v>
      </c>
      <c r="AF118" s="0" t="s">
        <v>512</v>
      </c>
      <c r="AG118" s="0" t="s">
        <v>464</v>
      </c>
      <c r="AH118" s="0" t="s">
        <v>58</v>
      </c>
    </row>
    <row r="119" customFormat="false" ht="14.4" hidden="false" customHeight="false" outlineLevel="0" collapsed="false">
      <c r="A119" s="0" t="n">
        <v>270</v>
      </c>
      <c r="B119" s="0" t="s">
        <v>890</v>
      </c>
      <c r="C119" s="0" t="s">
        <v>429</v>
      </c>
      <c r="D119" s="0" t="s">
        <v>472</v>
      </c>
      <c r="E119" s="0" t="s">
        <v>459</v>
      </c>
      <c r="F119" s="0" t="n">
        <v>1561</v>
      </c>
      <c r="G119" s="0" t="s">
        <v>138</v>
      </c>
      <c r="H119" s="0" t="n">
        <v>203</v>
      </c>
      <c r="I119" s="0" t="n">
        <v>59</v>
      </c>
      <c r="J119" s="0" t="n">
        <v>404</v>
      </c>
      <c r="K119" s="0" t="n">
        <v>190</v>
      </c>
      <c r="L119" s="0" t="n">
        <v>130</v>
      </c>
      <c r="M119" s="0" t="n">
        <v>0</v>
      </c>
      <c r="N119" s="0" t="n">
        <v>7</v>
      </c>
      <c r="O119" s="0" t="n">
        <v>186</v>
      </c>
      <c r="P119" s="0" t="n">
        <v>44</v>
      </c>
      <c r="Q119" s="114" t="n">
        <v>45</v>
      </c>
      <c r="R119" s="151" t="n">
        <v>183</v>
      </c>
      <c r="S119" s="114" t="n">
        <v>0.75</v>
      </c>
      <c r="T119" s="114" t="n">
        <v>1.4</v>
      </c>
      <c r="U119" s="114" t="n">
        <v>0.75</v>
      </c>
      <c r="V119" s="114" t="n">
        <v>0</v>
      </c>
      <c r="W119" s="0" t="s">
        <v>721</v>
      </c>
      <c r="X119" s="114" t="s">
        <v>58</v>
      </c>
      <c r="Y119" s="114" t="s">
        <v>58</v>
      </c>
      <c r="Z119" s="114" t="s">
        <v>58</v>
      </c>
      <c r="AA119" s="0" t="s">
        <v>529</v>
      </c>
      <c r="AB119" s="0" t="s">
        <v>789</v>
      </c>
      <c r="AC119" s="0" t="s">
        <v>58</v>
      </c>
      <c r="AD119" s="0" t="s">
        <v>58</v>
      </c>
      <c r="AE119" s="0" t="s">
        <v>531</v>
      </c>
      <c r="AF119" s="0" t="s">
        <v>464</v>
      </c>
      <c r="AG119" s="0" t="s">
        <v>58</v>
      </c>
      <c r="AH119" s="0" t="s">
        <v>58</v>
      </c>
    </row>
    <row r="120" customFormat="false" ht="14.4" hidden="false" customHeight="false" outlineLevel="0" collapsed="false">
      <c r="A120" s="0" t="n">
        <v>3270</v>
      </c>
      <c r="B120" s="0" t="s">
        <v>891</v>
      </c>
      <c r="C120" s="0" t="s">
        <v>429</v>
      </c>
      <c r="D120" s="0" t="s">
        <v>438</v>
      </c>
      <c r="E120" s="0" t="s">
        <v>459</v>
      </c>
      <c r="F120" s="0" t="n">
        <v>1726</v>
      </c>
      <c r="G120" s="0" t="s">
        <v>138</v>
      </c>
      <c r="H120" s="0" t="n">
        <v>223</v>
      </c>
      <c r="I120" s="0" t="n">
        <v>59</v>
      </c>
      <c r="J120" s="0" t="n">
        <v>414</v>
      </c>
      <c r="K120" s="0" t="n">
        <v>190</v>
      </c>
      <c r="L120" s="0" t="n">
        <v>170</v>
      </c>
      <c r="M120" s="0" t="n">
        <v>0</v>
      </c>
      <c r="N120" s="0" t="n">
        <v>7</v>
      </c>
      <c r="O120" s="0" t="n">
        <v>186</v>
      </c>
      <c r="P120" s="0" t="n">
        <v>47</v>
      </c>
      <c r="Q120" s="114" t="n">
        <v>45</v>
      </c>
      <c r="R120" s="116" t="n">
        <v>193</v>
      </c>
      <c r="S120" s="114" t="n">
        <v>0.75</v>
      </c>
      <c r="T120" s="114" t="n">
        <v>1.45</v>
      </c>
      <c r="U120" s="114" t="n">
        <v>0.8</v>
      </c>
      <c r="V120" s="114" t="n">
        <v>0</v>
      </c>
      <c r="W120" s="0" t="s">
        <v>721</v>
      </c>
      <c r="X120" s="114" t="s">
        <v>58</v>
      </c>
      <c r="Y120" s="114" t="s">
        <v>58</v>
      </c>
      <c r="Z120" s="114" t="s">
        <v>58</v>
      </c>
      <c r="AA120" s="0" t="s">
        <v>529</v>
      </c>
      <c r="AB120" s="0" t="s">
        <v>557</v>
      </c>
      <c r="AC120" s="0" t="s">
        <v>789</v>
      </c>
      <c r="AD120" s="0" t="s">
        <v>58</v>
      </c>
      <c r="AE120" s="0" t="s">
        <v>531</v>
      </c>
      <c r="AF120" s="0" t="s">
        <v>557</v>
      </c>
      <c r="AG120" s="0" t="s">
        <v>464</v>
      </c>
      <c r="AH120" s="0" t="s">
        <v>58</v>
      </c>
    </row>
    <row r="121" customFormat="false" ht="14.4" hidden="false" customHeight="false" outlineLevel="0" collapsed="false">
      <c r="A121" s="0" t="n">
        <v>10</v>
      </c>
      <c r="B121" s="0" t="s">
        <v>892</v>
      </c>
      <c r="C121" s="0" t="s">
        <v>437</v>
      </c>
      <c r="D121" s="0" t="s">
        <v>438</v>
      </c>
      <c r="E121" s="0" t="s">
        <v>459</v>
      </c>
      <c r="F121" s="0" t="n">
        <v>1809</v>
      </c>
      <c r="G121" s="0" t="s">
        <v>138</v>
      </c>
      <c r="H121" s="0" t="n">
        <v>207</v>
      </c>
      <c r="I121" s="0" t="n">
        <v>76</v>
      </c>
      <c r="J121" s="0" t="n">
        <v>448</v>
      </c>
      <c r="K121" s="0" t="n">
        <v>198</v>
      </c>
      <c r="L121" s="0" t="n">
        <v>178</v>
      </c>
      <c r="M121" s="0" t="n">
        <v>0</v>
      </c>
      <c r="N121" s="0" t="n">
        <v>9</v>
      </c>
      <c r="O121" s="0" t="n">
        <v>202</v>
      </c>
      <c r="P121" s="0" t="n">
        <v>43</v>
      </c>
      <c r="Q121" s="114" t="n">
        <v>69</v>
      </c>
      <c r="R121" s="144" t="n">
        <v>194</v>
      </c>
      <c r="S121" s="114" t="n">
        <v>1.15</v>
      </c>
      <c r="T121" s="114" t="n">
        <v>1.4</v>
      </c>
      <c r="U121" s="114" t="n">
        <v>1.25</v>
      </c>
      <c r="V121" s="114" t="n">
        <v>0</v>
      </c>
      <c r="W121" s="0" t="s">
        <v>606</v>
      </c>
      <c r="X121" s="114" t="s">
        <v>58</v>
      </c>
      <c r="Y121" s="114" t="s">
        <v>58</v>
      </c>
      <c r="Z121" s="114" t="s">
        <v>58</v>
      </c>
      <c r="AA121" s="0" t="s">
        <v>893</v>
      </c>
      <c r="AB121" s="0" t="s">
        <v>518</v>
      </c>
      <c r="AC121" s="0" t="s">
        <v>678</v>
      </c>
      <c r="AD121" s="0" t="s">
        <v>58</v>
      </c>
      <c r="AE121" s="0" t="s">
        <v>894</v>
      </c>
      <c r="AF121" s="0" t="s">
        <v>520</v>
      </c>
      <c r="AG121" s="0" t="s">
        <v>464</v>
      </c>
      <c r="AH121" s="0" t="s">
        <v>58</v>
      </c>
    </row>
    <row r="122" customFormat="false" ht="14.4" hidden="false" customHeight="false" outlineLevel="0" collapsed="false">
      <c r="A122" s="0" t="n">
        <v>9</v>
      </c>
      <c r="B122" s="0" t="s">
        <v>895</v>
      </c>
      <c r="C122" s="0" t="s">
        <v>437</v>
      </c>
      <c r="D122" s="0" t="s">
        <v>527</v>
      </c>
      <c r="E122" s="0" t="s">
        <v>459</v>
      </c>
      <c r="F122" s="0" t="n">
        <v>1724</v>
      </c>
      <c r="G122" s="0" t="s">
        <v>138</v>
      </c>
      <c r="H122" s="0" t="n">
        <v>196</v>
      </c>
      <c r="I122" s="0" t="n">
        <v>72</v>
      </c>
      <c r="J122" s="0" t="n">
        <v>429</v>
      </c>
      <c r="K122" s="0" t="n">
        <v>162</v>
      </c>
      <c r="L122" s="0" t="n">
        <v>171</v>
      </c>
      <c r="M122" s="0" t="n">
        <v>0</v>
      </c>
      <c r="N122" s="0" t="n">
        <v>7</v>
      </c>
      <c r="O122" s="0" t="n">
        <v>192</v>
      </c>
      <c r="P122" s="0" t="n">
        <v>43</v>
      </c>
      <c r="Q122" s="114" t="n">
        <v>69</v>
      </c>
      <c r="R122" s="144" t="n">
        <v>194</v>
      </c>
      <c r="S122" s="114" t="n">
        <v>1.15</v>
      </c>
      <c r="T122" s="114" t="n">
        <v>1.35</v>
      </c>
      <c r="U122" s="114" t="n">
        <v>1.25</v>
      </c>
      <c r="V122" s="114" t="n">
        <v>0</v>
      </c>
      <c r="W122" s="0" t="s">
        <v>606</v>
      </c>
      <c r="X122" s="114" t="s">
        <v>58</v>
      </c>
      <c r="Y122" s="114" t="s">
        <v>58</v>
      </c>
      <c r="Z122" s="114" t="s">
        <v>58</v>
      </c>
      <c r="AA122" s="0" t="s">
        <v>518</v>
      </c>
      <c r="AB122" s="0" t="s">
        <v>896</v>
      </c>
      <c r="AC122" s="0" t="s">
        <v>58</v>
      </c>
      <c r="AD122" s="0" t="s">
        <v>58</v>
      </c>
      <c r="AE122" s="0" t="s">
        <v>520</v>
      </c>
      <c r="AF122" s="0" t="s">
        <v>464</v>
      </c>
      <c r="AG122" s="0" t="s">
        <v>58</v>
      </c>
      <c r="AH122" s="0" t="s">
        <v>58</v>
      </c>
    </row>
    <row r="123" customFormat="false" ht="14.4" hidden="false" customHeight="false" outlineLevel="0" collapsed="false">
      <c r="A123" s="0" t="n">
        <v>333</v>
      </c>
      <c r="B123" s="0" t="s">
        <v>897</v>
      </c>
      <c r="C123" s="0" t="s">
        <v>429</v>
      </c>
      <c r="D123" s="0" t="s">
        <v>472</v>
      </c>
      <c r="E123" s="0" t="s">
        <v>459</v>
      </c>
      <c r="F123" s="0" t="n">
        <v>1964</v>
      </c>
      <c r="G123" s="0" t="s">
        <v>138</v>
      </c>
      <c r="H123" s="0" t="n">
        <v>196</v>
      </c>
      <c r="I123" s="0" t="n">
        <v>62</v>
      </c>
      <c r="J123" s="0" t="n">
        <v>509</v>
      </c>
      <c r="K123" s="0" t="n">
        <v>191</v>
      </c>
      <c r="L123" s="0" t="n">
        <v>150</v>
      </c>
      <c r="M123" s="0" t="n">
        <v>0</v>
      </c>
      <c r="N123" s="0" t="n">
        <v>8</v>
      </c>
      <c r="O123" s="0" t="n">
        <v>189</v>
      </c>
      <c r="P123" s="0" t="n">
        <v>42</v>
      </c>
      <c r="Q123" s="114" t="n">
        <v>48</v>
      </c>
      <c r="R123" s="144" t="n">
        <v>184</v>
      </c>
      <c r="S123" s="114" t="n">
        <v>0.75</v>
      </c>
      <c r="T123" s="114" t="n">
        <v>1.5</v>
      </c>
      <c r="U123" s="114" t="n">
        <v>0.75</v>
      </c>
      <c r="V123" s="114" t="n">
        <v>0</v>
      </c>
      <c r="W123" s="0" t="s">
        <v>504</v>
      </c>
      <c r="X123" s="114" t="s">
        <v>58</v>
      </c>
      <c r="Y123" s="114" t="s">
        <v>58</v>
      </c>
      <c r="Z123" s="114" t="s">
        <v>58</v>
      </c>
      <c r="AA123" s="0" t="s">
        <v>775</v>
      </c>
      <c r="AB123" s="0" t="s">
        <v>898</v>
      </c>
      <c r="AC123" s="0" t="s">
        <v>58</v>
      </c>
      <c r="AD123" s="0" t="s">
        <v>58</v>
      </c>
      <c r="AE123" s="0" t="s">
        <v>622</v>
      </c>
      <c r="AF123" s="0" t="s">
        <v>464</v>
      </c>
      <c r="AG123" s="0" t="s">
        <v>58</v>
      </c>
      <c r="AH123" s="0" t="s">
        <v>58</v>
      </c>
    </row>
    <row r="124" customFormat="false" ht="14.4" hidden="false" customHeight="false" outlineLevel="0" collapsed="false">
      <c r="A124" s="0" t="n">
        <v>280</v>
      </c>
      <c r="B124" s="0" t="s">
        <v>899</v>
      </c>
      <c r="C124" s="0" t="s">
        <v>429</v>
      </c>
      <c r="D124" s="0" t="s">
        <v>527</v>
      </c>
      <c r="E124" s="0" t="s">
        <v>459</v>
      </c>
      <c r="F124" s="0" t="n">
        <v>1487</v>
      </c>
      <c r="G124" s="0" t="s">
        <v>138</v>
      </c>
      <c r="H124" s="0" t="n">
        <v>196</v>
      </c>
      <c r="I124" s="0" t="n">
        <v>59</v>
      </c>
      <c r="J124" s="0" t="n">
        <v>427</v>
      </c>
      <c r="K124" s="0" t="n">
        <v>193</v>
      </c>
      <c r="L124" s="0" t="n">
        <v>138</v>
      </c>
      <c r="M124" s="0" t="n">
        <v>0</v>
      </c>
      <c r="N124" s="0" t="n">
        <v>7</v>
      </c>
      <c r="O124" s="0" t="n">
        <v>182</v>
      </c>
      <c r="P124" s="0" t="n">
        <v>44</v>
      </c>
      <c r="Q124" s="114" t="n">
        <v>40</v>
      </c>
      <c r="R124" s="144" t="n">
        <v>178</v>
      </c>
      <c r="S124" s="114" t="n">
        <v>0.75</v>
      </c>
      <c r="T124" s="114" t="n">
        <v>1.45</v>
      </c>
      <c r="U124" s="114" t="n">
        <v>0.75</v>
      </c>
      <c r="V124" s="114" t="n">
        <v>0</v>
      </c>
      <c r="W124" s="114" t="s">
        <v>665</v>
      </c>
      <c r="X124" s="114" t="s">
        <v>58</v>
      </c>
      <c r="Y124" s="114" t="s">
        <v>58</v>
      </c>
      <c r="Z124" s="114" t="s">
        <v>58</v>
      </c>
      <c r="AA124" s="0" t="s">
        <v>529</v>
      </c>
      <c r="AB124" s="0" t="s">
        <v>666</v>
      </c>
      <c r="AC124" s="0" t="s">
        <v>58</v>
      </c>
      <c r="AD124" s="0" t="s">
        <v>58</v>
      </c>
      <c r="AE124" s="0" t="s">
        <v>531</v>
      </c>
      <c r="AF124" s="0" t="s">
        <v>464</v>
      </c>
      <c r="AG124" s="0" t="s">
        <v>58</v>
      </c>
      <c r="AH124" s="0" t="s">
        <v>58</v>
      </c>
    </row>
    <row r="125" customFormat="false" ht="14.4" hidden="false" customHeight="false" outlineLevel="0" collapsed="false">
      <c r="A125" s="0" t="n">
        <v>276</v>
      </c>
      <c r="B125" s="0" t="s">
        <v>900</v>
      </c>
      <c r="C125" s="0" t="s">
        <v>429</v>
      </c>
      <c r="D125" s="0" t="s">
        <v>527</v>
      </c>
      <c r="E125" s="0" t="s">
        <v>459</v>
      </c>
      <c r="F125" s="0" t="n">
        <v>1487</v>
      </c>
      <c r="G125" s="0" t="s">
        <v>138</v>
      </c>
      <c r="H125" s="0" t="n">
        <v>196</v>
      </c>
      <c r="I125" s="0" t="n">
        <v>59</v>
      </c>
      <c r="J125" s="0" t="n">
        <v>427</v>
      </c>
      <c r="K125" s="0" t="n">
        <v>193</v>
      </c>
      <c r="L125" s="0" t="n">
        <v>138</v>
      </c>
      <c r="M125" s="0" t="n">
        <v>0</v>
      </c>
      <c r="N125" s="0" t="n">
        <v>7</v>
      </c>
      <c r="O125" s="0" t="n">
        <v>168</v>
      </c>
      <c r="P125" s="0" t="n">
        <v>44</v>
      </c>
      <c r="Q125" s="114" t="n">
        <v>45</v>
      </c>
      <c r="R125" s="144" t="n">
        <v>178</v>
      </c>
      <c r="S125" s="114" t="n">
        <v>0.75</v>
      </c>
      <c r="T125" s="114" t="n">
        <v>1.45</v>
      </c>
      <c r="U125" s="114" t="n">
        <v>0.75</v>
      </c>
      <c r="V125" s="114" t="n">
        <v>0</v>
      </c>
      <c r="W125" s="114" t="s">
        <v>665</v>
      </c>
      <c r="X125" s="114" t="s">
        <v>58</v>
      </c>
      <c r="Y125" s="114" t="s">
        <v>58</v>
      </c>
      <c r="Z125" s="114" t="s">
        <v>58</v>
      </c>
      <c r="AA125" s="0" t="s">
        <v>529</v>
      </c>
      <c r="AB125" s="0" t="s">
        <v>666</v>
      </c>
      <c r="AC125" s="0" t="s">
        <v>58</v>
      </c>
      <c r="AD125" s="0" t="s">
        <v>58</v>
      </c>
      <c r="AE125" s="0" t="s">
        <v>531</v>
      </c>
      <c r="AF125" s="0" t="s">
        <v>464</v>
      </c>
      <c r="AG125" s="0" t="s">
        <v>58</v>
      </c>
      <c r="AH125" s="0" t="s">
        <v>58</v>
      </c>
    </row>
    <row r="126" customFormat="false" ht="14.4" hidden="false" customHeight="false" outlineLevel="0" collapsed="false">
      <c r="A126" s="0" t="n">
        <v>432</v>
      </c>
      <c r="B126" s="0" t="s">
        <v>901</v>
      </c>
      <c r="C126" s="0" t="s">
        <v>680</v>
      </c>
      <c r="D126" s="0" t="s">
        <v>438</v>
      </c>
      <c r="E126" s="0" t="s">
        <v>74</v>
      </c>
      <c r="F126" s="0" t="n">
        <v>2611</v>
      </c>
      <c r="G126" s="0" t="s">
        <v>138</v>
      </c>
      <c r="H126" s="0" t="n">
        <v>201</v>
      </c>
      <c r="I126" s="0" t="n">
        <v>145</v>
      </c>
      <c r="J126" s="0" t="n">
        <v>228</v>
      </c>
      <c r="K126" s="0" t="n">
        <v>176</v>
      </c>
      <c r="L126" s="0" t="n">
        <v>172</v>
      </c>
      <c r="M126" s="0" t="n">
        <v>0</v>
      </c>
      <c r="N126" s="0" t="n">
        <v>8</v>
      </c>
      <c r="O126" s="0" t="n">
        <v>202</v>
      </c>
      <c r="P126" s="0" t="n">
        <v>48</v>
      </c>
      <c r="Q126" s="0" t="n">
        <v>58</v>
      </c>
      <c r="R126" s="116" t="n">
        <v>183</v>
      </c>
      <c r="S126" s="114" t="n">
        <v>1.55</v>
      </c>
      <c r="T126" s="114" t="n">
        <v>1.1</v>
      </c>
      <c r="U126" s="114" t="n">
        <v>1</v>
      </c>
      <c r="V126" s="114" t="n">
        <v>0</v>
      </c>
      <c r="W126" s="114" t="s">
        <v>902</v>
      </c>
      <c r="X126" s="114" t="s">
        <v>58</v>
      </c>
      <c r="Y126" s="114" t="s">
        <v>58</v>
      </c>
      <c r="Z126" s="114" t="s">
        <v>58</v>
      </c>
      <c r="AA126" s="114" t="s">
        <v>903</v>
      </c>
      <c r="AB126" s="114" t="s">
        <v>904</v>
      </c>
      <c r="AC126" s="114" t="s">
        <v>905</v>
      </c>
      <c r="AD126" s="0" t="s">
        <v>58</v>
      </c>
      <c r="AE126" s="114" t="s">
        <v>906</v>
      </c>
      <c r="AF126" s="114" t="s">
        <v>478</v>
      </c>
      <c r="AG126" s="114" t="s">
        <v>464</v>
      </c>
      <c r="AH126" s="0" t="s">
        <v>58</v>
      </c>
    </row>
    <row r="127" customFormat="false" ht="14.4" hidden="false" customHeight="false" outlineLevel="0" collapsed="false">
      <c r="A127" s="0" t="n">
        <v>375</v>
      </c>
      <c r="B127" s="0" t="s">
        <v>907</v>
      </c>
      <c r="C127" s="0" t="s">
        <v>437</v>
      </c>
      <c r="D127" s="0" t="s">
        <v>438</v>
      </c>
      <c r="E127" s="0" t="s">
        <v>459</v>
      </c>
      <c r="F127" s="0" t="n">
        <v>2115</v>
      </c>
      <c r="G127" s="0" t="s">
        <v>138</v>
      </c>
      <c r="H127" s="0" t="n">
        <v>206</v>
      </c>
      <c r="I127" s="0" t="n">
        <v>90</v>
      </c>
      <c r="J127" s="0" t="n">
        <v>291</v>
      </c>
      <c r="K127" s="0" t="n">
        <v>160</v>
      </c>
      <c r="L127" s="0" t="n">
        <v>172</v>
      </c>
      <c r="M127" s="0" t="n">
        <v>0</v>
      </c>
      <c r="N127" s="0" t="n">
        <v>9</v>
      </c>
      <c r="O127" s="0" t="n">
        <v>212</v>
      </c>
      <c r="P127" s="0" t="n">
        <v>42</v>
      </c>
      <c r="Q127" s="114" t="n">
        <v>89</v>
      </c>
      <c r="R127" s="144" t="n">
        <v>197</v>
      </c>
      <c r="S127" s="114" t="n">
        <v>1.25</v>
      </c>
      <c r="T127" s="114" t="n">
        <v>1.3</v>
      </c>
      <c r="U127" s="114" t="n">
        <v>1.3</v>
      </c>
      <c r="V127" s="114" t="n">
        <v>0</v>
      </c>
      <c r="W127" s="114" t="s">
        <v>528</v>
      </c>
      <c r="X127" s="114" t="s">
        <v>58</v>
      </c>
      <c r="Y127" s="114" t="s">
        <v>58</v>
      </c>
      <c r="Z127" s="114" t="s">
        <v>58</v>
      </c>
      <c r="AA127" s="0" t="s">
        <v>908</v>
      </c>
      <c r="AB127" s="0" t="s">
        <v>909</v>
      </c>
      <c r="AC127" s="0" t="s">
        <v>58</v>
      </c>
      <c r="AD127" s="0" t="s">
        <v>58</v>
      </c>
      <c r="AE127" s="0" t="s">
        <v>910</v>
      </c>
      <c r="AF127" s="0" t="s">
        <v>464</v>
      </c>
      <c r="AG127" s="0" t="s">
        <v>58</v>
      </c>
      <c r="AH127" s="0" t="s">
        <v>58</v>
      </c>
    </row>
    <row r="128" customFormat="false" ht="14.4" hidden="false" customHeight="false" outlineLevel="0" collapsed="false">
      <c r="A128" s="0" t="n">
        <v>326</v>
      </c>
      <c r="B128" s="0" t="s">
        <v>911</v>
      </c>
      <c r="C128" s="0" t="s">
        <v>471</v>
      </c>
      <c r="D128" s="0" t="s">
        <v>438</v>
      </c>
      <c r="E128" s="0" t="s">
        <v>459</v>
      </c>
      <c r="F128" s="0" t="n">
        <v>1683</v>
      </c>
      <c r="G128" s="0" t="s">
        <v>138</v>
      </c>
      <c r="H128" s="0" t="n">
        <v>201</v>
      </c>
      <c r="I128" s="0" t="n">
        <v>76</v>
      </c>
      <c r="J128" s="0" t="n">
        <v>400</v>
      </c>
      <c r="K128" s="0" t="n">
        <v>210</v>
      </c>
      <c r="L128" s="0" t="n">
        <v>156</v>
      </c>
      <c r="M128" s="0" t="n">
        <v>0</v>
      </c>
      <c r="N128" s="0" t="n">
        <v>9</v>
      </c>
      <c r="O128" s="0" t="n">
        <v>223</v>
      </c>
      <c r="P128" s="0" t="n">
        <v>43</v>
      </c>
      <c r="Q128" s="114" t="n">
        <v>67</v>
      </c>
      <c r="R128" s="144" t="n">
        <v>178</v>
      </c>
      <c r="S128" s="114" t="n">
        <v>1.2</v>
      </c>
      <c r="T128" s="114" t="n">
        <v>1.45</v>
      </c>
      <c r="U128" s="114" t="n">
        <v>1</v>
      </c>
      <c r="V128" s="114" t="n">
        <v>0</v>
      </c>
      <c r="W128" s="0" t="s">
        <v>885</v>
      </c>
      <c r="X128" s="114" t="s">
        <v>58</v>
      </c>
      <c r="Y128" s="114" t="s">
        <v>58</v>
      </c>
      <c r="Z128" s="114" t="s">
        <v>58</v>
      </c>
      <c r="AA128" s="0" t="s">
        <v>912</v>
      </c>
      <c r="AB128" s="0" t="s">
        <v>913</v>
      </c>
      <c r="AC128" s="0" t="s">
        <v>58</v>
      </c>
      <c r="AD128" s="0" t="s">
        <v>58</v>
      </c>
      <c r="AE128" s="0" t="s">
        <v>914</v>
      </c>
      <c r="AF128" s="0" t="s">
        <v>464</v>
      </c>
      <c r="AG128" s="0" t="s">
        <v>58</v>
      </c>
      <c r="AH128" s="0" t="s">
        <v>58</v>
      </c>
    </row>
    <row r="129" customFormat="false" ht="14.4" hidden="false" customHeight="false" outlineLevel="0" collapsed="false">
      <c r="A129" s="0" t="n">
        <v>271</v>
      </c>
      <c r="B129" s="0" t="s">
        <v>915</v>
      </c>
      <c r="C129" s="0" t="s">
        <v>429</v>
      </c>
      <c r="D129" s="0" t="s">
        <v>527</v>
      </c>
      <c r="E129" s="0" t="s">
        <v>459</v>
      </c>
      <c r="F129" s="0" t="n">
        <v>1487</v>
      </c>
      <c r="G129" s="0" t="s">
        <v>138</v>
      </c>
      <c r="H129" s="0" t="n">
        <v>196</v>
      </c>
      <c r="I129" s="0" t="n">
        <v>59</v>
      </c>
      <c r="J129" s="0" t="n">
        <v>427</v>
      </c>
      <c r="K129" s="0" t="n">
        <v>193</v>
      </c>
      <c r="L129" s="0" t="n">
        <v>138</v>
      </c>
      <c r="M129" s="0" t="n">
        <v>0</v>
      </c>
      <c r="N129" s="0" t="n">
        <v>7</v>
      </c>
      <c r="O129" s="0" t="n">
        <v>181</v>
      </c>
      <c r="P129" s="0" t="n">
        <v>44</v>
      </c>
      <c r="Q129" s="114" t="n">
        <v>35</v>
      </c>
      <c r="R129" s="144" t="n">
        <v>178</v>
      </c>
      <c r="S129" s="114" t="n">
        <v>0.75</v>
      </c>
      <c r="T129" s="114" t="n">
        <v>1.45</v>
      </c>
      <c r="U129" s="114" t="n">
        <v>0.75</v>
      </c>
      <c r="V129" s="114" t="n">
        <v>0</v>
      </c>
      <c r="W129" s="114" t="s">
        <v>665</v>
      </c>
      <c r="X129" s="114" t="s">
        <v>58</v>
      </c>
      <c r="Y129" s="114" t="s">
        <v>58</v>
      </c>
      <c r="Z129" s="114" t="s">
        <v>58</v>
      </c>
      <c r="AA129" s="0" t="s">
        <v>529</v>
      </c>
      <c r="AB129" s="0" t="s">
        <v>916</v>
      </c>
      <c r="AC129" s="0" t="s">
        <v>58</v>
      </c>
      <c r="AD129" s="0" t="s">
        <v>58</v>
      </c>
      <c r="AE129" s="0" t="s">
        <v>531</v>
      </c>
      <c r="AF129" s="0" t="s">
        <v>464</v>
      </c>
      <c r="AG129" s="0" t="s">
        <v>58</v>
      </c>
      <c r="AH129" s="0" t="s">
        <v>58</v>
      </c>
    </row>
    <row r="130" customFormat="false" ht="14.4" hidden="false" customHeight="false" outlineLevel="0" collapsed="false">
      <c r="A130" s="0" t="n">
        <v>3271</v>
      </c>
      <c r="B130" s="0" t="s">
        <v>917</v>
      </c>
      <c r="C130" s="0" t="s">
        <v>429</v>
      </c>
      <c r="D130" s="0" t="s">
        <v>472</v>
      </c>
      <c r="E130" s="0" t="s">
        <v>459</v>
      </c>
      <c r="F130" s="0" t="n">
        <v>1652</v>
      </c>
      <c r="G130" s="0" t="s">
        <v>138</v>
      </c>
      <c r="H130" s="0" t="n">
        <v>216</v>
      </c>
      <c r="I130" s="0" t="n">
        <v>59</v>
      </c>
      <c r="J130" s="0" t="n">
        <v>462</v>
      </c>
      <c r="K130" s="0" t="n">
        <v>193</v>
      </c>
      <c r="L130" s="0" t="n">
        <v>173</v>
      </c>
      <c r="M130" s="0" t="n">
        <v>0</v>
      </c>
      <c r="N130" s="0" t="n">
        <v>7</v>
      </c>
      <c r="O130" s="0" t="n">
        <v>181</v>
      </c>
      <c r="P130" s="0" t="n">
        <v>47</v>
      </c>
      <c r="Q130" s="114" t="n">
        <v>35</v>
      </c>
      <c r="R130" s="144" t="n">
        <v>178</v>
      </c>
      <c r="S130" s="114" t="n">
        <v>0.75</v>
      </c>
      <c r="T130" s="114" t="n">
        <v>1.5</v>
      </c>
      <c r="U130" s="114" t="n">
        <v>0.8</v>
      </c>
      <c r="V130" s="114" t="n">
        <v>0</v>
      </c>
      <c r="W130" s="114" t="s">
        <v>665</v>
      </c>
      <c r="X130" s="114" t="s">
        <v>58</v>
      </c>
      <c r="Y130" s="114" t="s">
        <v>58</v>
      </c>
      <c r="Z130" s="114" t="s">
        <v>58</v>
      </c>
      <c r="AA130" s="0" t="s">
        <v>529</v>
      </c>
      <c r="AB130" s="0" t="s">
        <v>728</v>
      </c>
      <c r="AC130" s="0" t="s">
        <v>916</v>
      </c>
      <c r="AD130" s="0" t="s">
        <v>58</v>
      </c>
      <c r="AE130" s="0" t="s">
        <v>531</v>
      </c>
      <c r="AF130" s="0" t="s">
        <v>597</v>
      </c>
      <c r="AG130" s="0" t="s">
        <v>464</v>
      </c>
      <c r="AH130" s="0" t="s">
        <v>58</v>
      </c>
    </row>
    <row r="131" customFormat="false" ht="14.4" hidden="false" customHeight="false" outlineLevel="0" collapsed="false">
      <c r="A131" s="0" t="n">
        <v>450</v>
      </c>
      <c r="B131" s="0" t="s">
        <v>918</v>
      </c>
      <c r="C131" s="0" t="s">
        <v>429</v>
      </c>
      <c r="D131" s="0" t="s">
        <v>438</v>
      </c>
      <c r="E131" s="0" t="s">
        <v>74</v>
      </c>
      <c r="F131" s="0" t="n">
        <v>2157</v>
      </c>
      <c r="G131" s="0" t="s">
        <v>138</v>
      </c>
      <c r="H131" s="0" t="n">
        <v>215</v>
      </c>
      <c r="I131" s="0" t="n">
        <v>65</v>
      </c>
      <c r="J131" s="0" t="n">
        <v>530</v>
      </c>
      <c r="K131" s="0" t="n">
        <v>191</v>
      </c>
      <c r="L131" s="0" t="n">
        <v>156</v>
      </c>
      <c r="M131" s="0" t="n">
        <v>0</v>
      </c>
      <c r="N131" s="0" t="n">
        <v>9</v>
      </c>
      <c r="O131" s="0" t="n">
        <v>192</v>
      </c>
      <c r="P131" s="0" t="n">
        <v>42</v>
      </c>
      <c r="Q131" s="0" t="n">
        <v>55</v>
      </c>
      <c r="R131" s="116" t="n">
        <v>189</v>
      </c>
      <c r="S131" s="114" t="n">
        <v>0.8</v>
      </c>
      <c r="T131" s="114" t="n">
        <v>1.55</v>
      </c>
      <c r="U131" s="114" t="n">
        <v>0.75</v>
      </c>
      <c r="V131" s="114" t="n">
        <v>0</v>
      </c>
      <c r="W131" s="114" t="s">
        <v>824</v>
      </c>
      <c r="X131" s="114" t="s">
        <v>58</v>
      </c>
      <c r="Y131" s="114" t="s">
        <v>58</v>
      </c>
      <c r="Z131" s="114" t="s">
        <v>58</v>
      </c>
      <c r="AA131" s="114" t="s">
        <v>919</v>
      </c>
      <c r="AB131" s="114" t="s">
        <v>920</v>
      </c>
      <c r="AC131" s="0" t="s">
        <v>883</v>
      </c>
      <c r="AD131" s="0" t="s">
        <v>58</v>
      </c>
      <c r="AE131" s="114" t="s">
        <v>825</v>
      </c>
      <c r="AF131" s="114" t="s">
        <v>921</v>
      </c>
      <c r="AG131" s="114" t="s">
        <v>464</v>
      </c>
      <c r="AH131" s="0" t="s">
        <v>58</v>
      </c>
    </row>
    <row r="132" customFormat="false" ht="14.4" hidden="false" customHeight="false" outlineLevel="0" collapsed="false">
      <c r="A132" s="0" t="n">
        <v>278</v>
      </c>
      <c r="B132" s="0" t="s">
        <v>922</v>
      </c>
      <c r="C132" s="0" t="s">
        <v>429</v>
      </c>
      <c r="D132" s="0" t="s">
        <v>472</v>
      </c>
      <c r="E132" s="0" t="s">
        <v>459</v>
      </c>
      <c r="F132" s="0" t="n">
        <v>1516</v>
      </c>
      <c r="G132" s="0" t="s">
        <v>138</v>
      </c>
      <c r="H132" s="0" t="n">
        <v>201</v>
      </c>
      <c r="I132" s="0" t="n">
        <v>60</v>
      </c>
      <c r="J132" s="0" t="n">
        <v>438</v>
      </c>
      <c r="K132" s="0" t="n">
        <v>193</v>
      </c>
      <c r="L132" s="0" t="n">
        <v>128</v>
      </c>
      <c r="M132" s="0" t="n">
        <v>0</v>
      </c>
      <c r="N132" s="0" t="n">
        <v>8</v>
      </c>
      <c r="O132" s="0" t="n">
        <v>187</v>
      </c>
      <c r="P132" s="0" t="n">
        <v>44</v>
      </c>
      <c r="Q132" s="114" t="n">
        <v>35</v>
      </c>
      <c r="R132" s="144" t="n">
        <v>178</v>
      </c>
      <c r="S132" s="114" t="n">
        <v>0.75</v>
      </c>
      <c r="T132" s="114" t="n">
        <v>1.45</v>
      </c>
      <c r="U132" s="114" t="n">
        <v>0.75</v>
      </c>
      <c r="V132" s="114" t="n">
        <v>0</v>
      </c>
      <c r="W132" s="114" t="s">
        <v>665</v>
      </c>
      <c r="X132" s="114" t="s">
        <v>58</v>
      </c>
      <c r="Y132" s="114" t="s">
        <v>58</v>
      </c>
      <c r="Z132" s="114" t="s">
        <v>58</v>
      </c>
      <c r="AA132" s="0" t="s">
        <v>529</v>
      </c>
      <c r="AB132" s="0" t="s">
        <v>666</v>
      </c>
      <c r="AC132" s="0" t="s">
        <v>58</v>
      </c>
      <c r="AD132" s="0" t="s">
        <v>58</v>
      </c>
      <c r="AE132" s="0" t="s">
        <v>531</v>
      </c>
      <c r="AF132" s="0" t="s">
        <v>464</v>
      </c>
      <c r="AG132" s="0" t="s">
        <v>58</v>
      </c>
      <c r="AH132" s="0" t="s">
        <v>58</v>
      </c>
    </row>
    <row r="133" customFormat="false" ht="14.4" hidden="false" customHeight="false" outlineLevel="0" collapsed="false">
      <c r="A133" s="0" t="s">
        <v>923</v>
      </c>
      <c r="B133" s="0" t="s">
        <v>924</v>
      </c>
      <c r="C133" s="0" t="s">
        <v>925</v>
      </c>
      <c r="D133" s="0" t="s">
        <v>438</v>
      </c>
      <c r="E133" s="0" t="s">
        <v>74</v>
      </c>
      <c r="F133" s="0" t="n">
        <v>1763</v>
      </c>
      <c r="G133" s="0" t="s">
        <v>138</v>
      </c>
      <c r="H133" s="0" t="n">
        <v>207</v>
      </c>
      <c r="I133" s="0" t="n">
        <v>70</v>
      </c>
      <c r="J133" s="0" t="n">
        <v>468</v>
      </c>
      <c r="K133" s="0" t="n">
        <v>190</v>
      </c>
      <c r="L133" s="0" t="n">
        <v>165</v>
      </c>
      <c r="M133" s="0" t="n">
        <v>0</v>
      </c>
      <c r="N133" s="0" t="n">
        <v>9</v>
      </c>
      <c r="O133" s="0" t="n">
        <v>207</v>
      </c>
      <c r="P133" s="0" t="n">
        <v>40</v>
      </c>
      <c r="Q133" s="0" t="n">
        <v>87</v>
      </c>
      <c r="R133" s="116" t="n">
        <v>189</v>
      </c>
      <c r="S133" s="114" t="n">
        <v>0.75</v>
      </c>
      <c r="T133" s="114" t="n">
        <v>1.25</v>
      </c>
      <c r="U133" s="114" t="n">
        <v>1.05</v>
      </c>
      <c r="V133" s="114" t="n">
        <v>0</v>
      </c>
      <c r="W133" s="0" t="s">
        <v>926</v>
      </c>
      <c r="X133" s="0" t="s">
        <v>927</v>
      </c>
      <c r="Y133" s="114" t="s">
        <v>58</v>
      </c>
      <c r="Z133" s="114" t="s">
        <v>58</v>
      </c>
      <c r="AA133" s="114" t="s">
        <v>928</v>
      </c>
      <c r="AB133" s="114" t="s">
        <v>929</v>
      </c>
      <c r="AC133" s="0" t="s">
        <v>58</v>
      </c>
      <c r="AD133" s="0" t="s">
        <v>58</v>
      </c>
      <c r="AE133" s="114" t="s">
        <v>930</v>
      </c>
      <c r="AF133" s="114" t="s">
        <v>931</v>
      </c>
      <c r="AG133" s="0" t="s">
        <v>58</v>
      </c>
      <c r="AH133" s="0" t="s">
        <v>58</v>
      </c>
    </row>
    <row r="134" customFormat="false" ht="14.4" hidden="false" customHeight="false" outlineLevel="0" collapsed="false">
      <c r="A134" s="0" t="s">
        <v>932</v>
      </c>
      <c r="B134" s="0" t="s">
        <v>933</v>
      </c>
      <c r="C134" s="0" t="s">
        <v>934</v>
      </c>
      <c r="D134" s="0" t="s">
        <v>430</v>
      </c>
      <c r="E134" s="0" t="s">
        <v>459</v>
      </c>
      <c r="F134" s="0" t="n">
        <v>1941</v>
      </c>
      <c r="G134" s="0" t="s">
        <v>138</v>
      </c>
      <c r="H134" s="0" t="n">
        <v>199</v>
      </c>
      <c r="I134" s="0" t="n">
        <v>98</v>
      </c>
      <c r="J134" s="0" t="n">
        <v>356</v>
      </c>
      <c r="K134" s="0" t="n">
        <v>189</v>
      </c>
      <c r="L134" s="0" t="n">
        <v>210</v>
      </c>
      <c r="M134" s="0" t="n">
        <v>0</v>
      </c>
      <c r="N134" s="0" t="n">
        <v>10</v>
      </c>
      <c r="O134" s="0" t="n">
        <v>162</v>
      </c>
      <c r="P134" s="0" t="n">
        <v>39</v>
      </c>
      <c r="Q134" s="114" t="n">
        <v>52</v>
      </c>
      <c r="R134" s="144" t="n">
        <v>202</v>
      </c>
      <c r="S134" s="114" t="n">
        <v>0.85</v>
      </c>
      <c r="T134" s="114" t="n">
        <v>1.2</v>
      </c>
      <c r="U134" s="114" t="n">
        <v>0.65</v>
      </c>
      <c r="V134" s="114" t="n">
        <v>0</v>
      </c>
      <c r="W134" s="114" t="s">
        <v>58</v>
      </c>
      <c r="X134" s="0" t="s">
        <v>933</v>
      </c>
      <c r="Y134" s="114" t="s">
        <v>58</v>
      </c>
      <c r="Z134" s="114" t="s">
        <v>58</v>
      </c>
      <c r="AA134" s="0" t="s">
        <v>935</v>
      </c>
      <c r="AB134" s="0" t="s">
        <v>936</v>
      </c>
      <c r="AC134" s="0" t="s">
        <v>58</v>
      </c>
      <c r="AD134" s="0" t="s">
        <v>58</v>
      </c>
      <c r="AE134" s="0" t="s">
        <v>937</v>
      </c>
      <c r="AF134" s="0" t="s">
        <v>938</v>
      </c>
      <c r="AG134" s="0" t="s">
        <v>58</v>
      </c>
      <c r="AH134" s="0" t="s">
        <v>58</v>
      </c>
    </row>
    <row r="135" customFormat="false" ht="14.4" hidden="false" customHeight="false" outlineLevel="0" collapsed="false">
      <c r="A135" s="0" t="n">
        <v>301</v>
      </c>
      <c r="B135" s="0" t="s">
        <v>939</v>
      </c>
      <c r="C135" s="0" t="s">
        <v>437</v>
      </c>
      <c r="D135" s="0" t="s">
        <v>438</v>
      </c>
      <c r="E135" s="0" t="s">
        <v>459</v>
      </c>
      <c r="F135" s="0" t="n">
        <v>2115</v>
      </c>
      <c r="G135" s="0" t="s">
        <v>138</v>
      </c>
      <c r="H135" s="0" t="n">
        <v>207</v>
      </c>
      <c r="I135" s="0" t="n">
        <v>87</v>
      </c>
      <c r="J135" s="0" t="n">
        <v>291</v>
      </c>
      <c r="K135" s="0" t="n">
        <v>160</v>
      </c>
      <c r="L135" s="0" t="n">
        <v>178</v>
      </c>
      <c r="M135" s="0" t="n">
        <v>0</v>
      </c>
      <c r="N135" s="0" t="n">
        <v>9</v>
      </c>
      <c r="O135" s="0" t="n">
        <v>212</v>
      </c>
      <c r="P135" s="0" t="n">
        <v>42</v>
      </c>
      <c r="Q135" s="114" t="n">
        <v>80</v>
      </c>
      <c r="R135" s="144" t="n">
        <v>197</v>
      </c>
      <c r="S135" s="114" t="n">
        <v>1.25</v>
      </c>
      <c r="T135" s="114" t="n">
        <v>1.3</v>
      </c>
      <c r="U135" s="114" t="n">
        <v>1.3</v>
      </c>
      <c r="V135" s="114" t="n">
        <v>0</v>
      </c>
      <c r="W135" s="152" t="s">
        <v>528</v>
      </c>
      <c r="X135" s="114" t="s">
        <v>58</v>
      </c>
      <c r="Y135" s="114" t="s">
        <v>58</v>
      </c>
      <c r="Z135" s="114" t="s">
        <v>58</v>
      </c>
      <c r="AA135" s="0" t="s">
        <v>940</v>
      </c>
      <c r="AB135" s="0" t="s">
        <v>590</v>
      </c>
      <c r="AC135" s="0" t="s">
        <v>941</v>
      </c>
      <c r="AD135" s="0" t="s">
        <v>58</v>
      </c>
      <c r="AE135" s="0" t="s">
        <v>942</v>
      </c>
      <c r="AF135" s="0" t="s">
        <v>592</v>
      </c>
      <c r="AG135" s="0" t="s">
        <v>464</v>
      </c>
      <c r="AH135" s="0" t="s">
        <v>58</v>
      </c>
    </row>
    <row r="136" customFormat="false" ht="14.4" hidden="false" customHeight="false" outlineLevel="0" collapsed="false">
      <c r="A136" s="0" t="n">
        <v>3301</v>
      </c>
      <c r="B136" s="0" t="s">
        <v>943</v>
      </c>
      <c r="C136" s="0" t="s">
        <v>437</v>
      </c>
      <c r="D136" s="0" t="s">
        <v>430</v>
      </c>
      <c r="E136" s="0" t="s">
        <v>459</v>
      </c>
      <c r="F136" s="0" t="n">
        <v>2280</v>
      </c>
      <c r="G136" s="0" t="s">
        <v>138</v>
      </c>
      <c r="H136" s="0" t="n">
        <v>207</v>
      </c>
      <c r="I136" s="0" t="n">
        <v>132</v>
      </c>
      <c r="J136" s="0" t="n">
        <v>356</v>
      </c>
      <c r="K136" s="0" t="n">
        <v>160</v>
      </c>
      <c r="L136" s="0" t="n">
        <v>233</v>
      </c>
      <c r="M136" s="0" t="n">
        <v>0</v>
      </c>
      <c r="N136" s="0" t="n">
        <v>9</v>
      </c>
      <c r="O136" s="0" t="n">
        <v>222</v>
      </c>
      <c r="P136" s="0" t="n">
        <v>42</v>
      </c>
      <c r="Q136" s="114" t="n">
        <v>80</v>
      </c>
      <c r="R136" s="144" t="n">
        <v>197</v>
      </c>
      <c r="S136" s="114" t="n">
        <v>1.4</v>
      </c>
      <c r="T136" s="114" t="n">
        <v>1.4</v>
      </c>
      <c r="U136" s="114" t="n">
        <v>1.3</v>
      </c>
      <c r="V136" s="114" t="n">
        <v>0</v>
      </c>
      <c r="W136" s="114" t="s">
        <v>528</v>
      </c>
      <c r="X136" s="114" t="s">
        <v>58</v>
      </c>
      <c r="Y136" s="114" t="s">
        <v>58</v>
      </c>
      <c r="Z136" s="114" t="s">
        <v>58</v>
      </c>
      <c r="AA136" s="0" t="s">
        <v>940</v>
      </c>
      <c r="AB136" s="0" t="s">
        <v>590</v>
      </c>
      <c r="AC136" s="0" t="s">
        <v>944</v>
      </c>
      <c r="AD136" s="0" t="s">
        <v>941</v>
      </c>
      <c r="AE136" s="0" t="s">
        <v>942</v>
      </c>
      <c r="AF136" s="0" t="s">
        <v>592</v>
      </c>
      <c r="AG136" s="0" t="s">
        <v>945</v>
      </c>
      <c r="AH136" s="0" t="s">
        <v>464</v>
      </c>
    </row>
    <row r="137" customFormat="false" ht="14.4" hidden="false" customHeight="false" outlineLevel="0" collapsed="false">
      <c r="A137" s="0" t="n">
        <v>295</v>
      </c>
      <c r="B137" s="0" t="s">
        <v>946</v>
      </c>
      <c r="C137" s="0" t="s">
        <v>429</v>
      </c>
      <c r="D137" s="0" t="s">
        <v>438</v>
      </c>
      <c r="E137" s="0" t="s">
        <v>459</v>
      </c>
      <c r="F137" s="0" t="n">
        <v>2445</v>
      </c>
      <c r="G137" s="0" t="s">
        <v>138</v>
      </c>
      <c r="H137" s="0" t="n">
        <v>210</v>
      </c>
      <c r="I137" s="0" t="n">
        <v>76</v>
      </c>
      <c r="J137" s="0" t="n">
        <v>370</v>
      </c>
      <c r="K137" s="0" t="n">
        <v>179</v>
      </c>
      <c r="L137" s="0" t="n">
        <v>193</v>
      </c>
      <c r="M137" s="0" t="n">
        <v>0</v>
      </c>
      <c r="N137" s="0" t="n">
        <v>9</v>
      </c>
      <c r="O137" s="0" t="n">
        <v>200</v>
      </c>
      <c r="P137" s="0" t="n">
        <v>39</v>
      </c>
      <c r="Q137" s="114" t="n">
        <v>32</v>
      </c>
      <c r="R137" s="144" t="n">
        <v>184</v>
      </c>
      <c r="S137" s="114" t="n">
        <v>1</v>
      </c>
      <c r="T137" s="114" t="n">
        <v>1.35</v>
      </c>
      <c r="U137" s="114" t="n">
        <v>1.35</v>
      </c>
      <c r="V137" s="114" t="n">
        <v>0</v>
      </c>
      <c r="W137" s="0" t="s">
        <v>705</v>
      </c>
      <c r="X137" s="114" t="s">
        <v>58</v>
      </c>
      <c r="Y137" s="114" t="s">
        <v>58</v>
      </c>
      <c r="Z137" s="114" t="s">
        <v>58</v>
      </c>
      <c r="AA137" s="0" t="s">
        <v>947</v>
      </c>
      <c r="AB137" s="0" t="s">
        <v>948</v>
      </c>
      <c r="AC137" s="0" t="s">
        <v>707</v>
      </c>
      <c r="AD137" s="0" t="s">
        <v>58</v>
      </c>
      <c r="AE137" s="0" t="s">
        <v>949</v>
      </c>
      <c r="AF137" s="0" t="s">
        <v>702</v>
      </c>
      <c r="AG137" s="0" t="s">
        <v>464</v>
      </c>
      <c r="AH137" s="0" t="s">
        <v>58</v>
      </c>
    </row>
    <row r="138" customFormat="false" ht="14.4" hidden="false" customHeight="false" outlineLevel="0" collapsed="false">
      <c r="A138" s="0" t="n">
        <v>170</v>
      </c>
      <c r="B138" s="0" t="s">
        <v>950</v>
      </c>
      <c r="C138" s="0" t="s">
        <v>429</v>
      </c>
      <c r="D138" s="0" t="s">
        <v>438</v>
      </c>
      <c r="E138" s="0" t="s">
        <v>459</v>
      </c>
      <c r="F138" s="0" t="n">
        <v>2145</v>
      </c>
      <c r="G138" s="0" t="s">
        <v>138</v>
      </c>
      <c r="H138" s="0" t="n">
        <v>210</v>
      </c>
      <c r="I138" s="0" t="n">
        <v>65</v>
      </c>
      <c r="J138" s="0" t="n">
        <v>526</v>
      </c>
      <c r="K138" s="0" t="n">
        <v>191</v>
      </c>
      <c r="L138" s="0" t="n">
        <v>154</v>
      </c>
      <c r="M138" s="0" t="n">
        <v>0</v>
      </c>
      <c r="N138" s="0" t="n">
        <v>9</v>
      </c>
      <c r="O138" s="0" t="n">
        <v>192</v>
      </c>
      <c r="P138" s="0" t="n">
        <v>42</v>
      </c>
      <c r="Q138" s="114" t="n">
        <v>72</v>
      </c>
      <c r="R138" s="144" t="n">
        <v>191</v>
      </c>
      <c r="S138" s="114" t="n">
        <v>0.8</v>
      </c>
      <c r="T138" s="114" t="n">
        <v>1.55</v>
      </c>
      <c r="U138" s="114" t="n">
        <v>0.75</v>
      </c>
      <c r="V138" s="114" t="n">
        <v>0</v>
      </c>
      <c r="W138" s="152" t="s">
        <v>691</v>
      </c>
      <c r="X138" s="114" t="s">
        <v>58</v>
      </c>
      <c r="Y138" s="114" t="s">
        <v>58</v>
      </c>
      <c r="Z138" s="114" t="s">
        <v>58</v>
      </c>
      <c r="AA138" s="0" t="s">
        <v>951</v>
      </c>
      <c r="AB138" s="0" t="s">
        <v>952</v>
      </c>
      <c r="AC138" s="0" t="s">
        <v>58</v>
      </c>
      <c r="AD138" s="0" t="s">
        <v>58</v>
      </c>
      <c r="AE138" s="0" t="s">
        <v>953</v>
      </c>
      <c r="AF138" s="0" t="s">
        <v>464</v>
      </c>
      <c r="AG138" s="0" t="s">
        <v>58</v>
      </c>
      <c r="AH138" s="0" t="s">
        <v>58</v>
      </c>
    </row>
    <row r="139" customFormat="false" ht="14.4" hidden="false" customHeight="false" outlineLevel="0" collapsed="false">
      <c r="A139" s="0" t="n">
        <v>332</v>
      </c>
      <c r="B139" s="0" t="s">
        <v>954</v>
      </c>
      <c r="C139" s="0" t="s">
        <v>429</v>
      </c>
      <c r="D139" s="0" t="s">
        <v>472</v>
      </c>
      <c r="E139" s="0" t="s">
        <v>459</v>
      </c>
      <c r="F139" s="0" t="n">
        <v>1937</v>
      </c>
      <c r="G139" s="0" t="s">
        <v>138</v>
      </c>
      <c r="H139" s="0" t="n">
        <v>196</v>
      </c>
      <c r="I139" s="0" t="n">
        <v>62</v>
      </c>
      <c r="J139" s="0" t="n">
        <v>509</v>
      </c>
      <c r="K139" s="0" t="n">
        <v>191</v>
      </c>
      <c r="L139" s="0" t="n">
        <v>150</v>
      </c>
      <c r="M139" s="0" t="n">
        <v>0</v>
      </c>
      <c r="N139" s="0" t="n">
        <v>8</v>
      </c>
      <c r="O139" s="0" t="n">
        <v>171</v>
      </c>
      <c r="P139" s="0" t="n">
        <v>42</v>
      </c>
      <c r="Q139" s="114" t="n">
        <v>40</v>
      </c>
      <c r="R139" s="144" t="n">
        <v>183</v>
      </c>
      <c r="S139" s="114" t="n">
        <v>0.75</v>
      </c>
      <c r="T139" s="114" t="n">
        <v>1.5</v>
      </c>
      <c r="U139" s="114" t="n">
        <v>0.75</v>
      </c>
      <c r="V139" s="114" t="n">
        <v>0</v>
      </c>
      <c r="W139" s="0" t="s">
        <v>504</v>
      </c>
      <c r="X139" s="114" t="s">
        <v>58</v>
      </c>
      <c r="Y139" s="114" t="s">
        <v>58</v>
      </c>
      <c r="Z139" s="114" t="s">
        <v>58</v>
      </c>
      <c r="AA139" s="0" t="s">
        <v>955</v>
      </c>
      <c r="AB139" s="0" t="s">
        <v>956</v>
      </c>
      <c r="AC139" s="0" t="s">
        <v>58</v>
      </c>
      <c r="AD139" s="0" t="s">
        <v>58</v>
      </c>
      <c r="AE139" s="0" t="s">
        <v>525</v>
      </c>
      <c r="AF139" s="0" t="s">
        <v>464</v>
      </c>
      <c r="AG139" s="0" t="s">
        <v>58</v>
      </c>
      <c r="AH139" s="0" t="s">
        <v>58</v>
      </c>
    </row>
    <row r="140" customFormat="false" ht="14.4" hidden="false" customHeight="false" outlineLevel="0" collapsed="false">
      <c r="A140" s="0" t="n">
        <v>178</v>
      </c>
      <c r="B140" s="0" t="s">
        <v>957</v>
      </c>
      <c r="C140" s="0" t="s">
        <v>429</v>
      </c>
      <c r="D140" s="0" t="s">
        <v>472</v>
      </c>
      <c r="E140" s="0" t="s">
        <v>459</v>
      </c>
      <c r="F140" s="0" t="n">
        <v>2083</v>
      </c>
      <c r="G140" s="0" t="s">
        <v>138</v>
      </c>
      <c r="H140" s="0" t="n">
        <v>201</v>
      </c>
      <c r="I140" s="0" t="n">
        <v>65</v>
      </c>
      <c r="J140" s="0" t="n">
        <v>512</v>
      </c>
      <c r="K140" s="0" t="n">
        <v>191</v>
      </c>
      <c r="L140" s="0" t="n">
        <v>150</v>
      </c>
      <c r="M140" s="0" t="n">
        <v>0</v>
      </c>
      <c r="N140" s="0" t="n">
        <v>8</v>
      </c>
      <c r="O140" s="0" t="n">
        <v>189</v>
      </c>
      <c r="P140" s="0" t="n">
        <v>42</v>
      </c>
      <c r="Q140" s="114" t="n">
        <v>34</v>
      </c>
      <c r="R140" s="144" t="n">
        <v>184</v>
      </c>
      <c r="S140" s="114" t="n">
        <v>0.75</v>
      </c>
      <c r="T140" s="114" t="n">
        <v>1.5</v>
      </c>
      <c r="U140" s="114" t="n">
        <v>0.75</v>
      </c>
      <c r="V140" s="114" t="n">
        <v>0</v>
      </c>
      <c r="W140" s="152" t="s">
        <v>691</v>
      </c>
      <c r="X140" s="114" t="s">
        <v>58</v>
      </c>
      <c r="Y140" s="114" t="s">
        <v>58</v>
      </c>
      <c r="Z140" s="114" t="s">
        <v>58</v>
      </c>
      <c r="AA140" s="0" t="s">
        <v>590</v>
      </c>
      <c r="AB140" s="0" t="s">
        <v>518</v>
      </c>
      <c r="AC140" s="0" t="s">
        <v>693</v>
      </c>
      <c r="AD140" s="0" t="s">
        <v>58</v>
      </c>
      <c r="AE140" s="0" t="s">
        <v>592</v>
      </c>
      <c r="AF140" s="0" t="s">
        <v>520</v>
      </c>
      <c r="AG140" s="0" t="s">
        <v>464</v>
      </c>
      <c r="AH140" s="0" t="s">
        <v>58</v>
      </c>
    </row>
    <row r="141" customFormat="false" ht="14.4" hidden="false" customHeight="false" outlineLevel="0" collapsed="false">
      <c r="A141" s="0" t="n">
        <v>299</v>
      </c>
      <c r="B141" s="0" t="s">
        <v>958</v>
      </c>
      <c r="C141" s="0" t="s">
        <v>437</v>
      </c>
      <c r="D141" s="0" t="s">
        <v>472</v>
      </c>
      <c r="E141" s="0" t="s">
        <v>459</v>
      </c>
      <c r="F141" s="0" t="n">
        <v>2054</v>
      </c>
      <c r="G141" s="0" t="s">
        <v>138</v>
      </c>
      <c r="H141" s="0" t="n">
        <v>201</v>
      </c>
      <c r="I141" s="0" t="n">
        <v>85</v>
      </c>
      <c r="J141" s="0" t="n">
        <v>283</v>
      </c>
      <c r="K141" s="0" t="n">
        <v>163</v>
      </c>
      <c r="L141" s="0" t="n">
        <v>172</v>
      </c>
      <c r="M141" s="0" t="n">
        <v>0</v>
      </c>
      <c r="N141" s="0" t="n">
        <v>8</v>
      </c>
      <c r="O141" s="0" t="n">
        <v>206</v>
      </c>
      <c r="P141" s="0" t="n">
        <v>45</v>
      </c>
      <c r="Q141" s="114" t="n">
        <v>80</v>
      </c>
      <c r="R141" s="144" t="n">
        <v>197</v>
      </c>
      <c r="S141" s="114" t="n">
        <v>1.2</v>
      </c>
      <c r="T141" s="114" t="n">
        <v>1.3</v>
      </c>
      <c r="U141" s="114" t="n">
        <v>1.3</v>
      </c>
      <c r="V141" s="114" t="n">
        <v>0</v>
      </c>
      <c r="W141" s="152" t="s">
        <v>528</v>
      </c>
      <c r="X141" s="114" t="s">
        <v>58</v>
      </c>
      <c r="Y141" s="114" t="s">
        <v>58</v>
      </c>
      <c r="Z141" s="114" t="s">
        <v>58</v>
      </c>
      <c r="AA141" s="0" t="s">
        <v>590</v>
      </c>
      <c r="AB141" s="0" t="s">
        <v>688</v>
      </c>
      <c r="AC141" s="0" t="s">
        <v>58</v>
      </c>
      <c r="AD141" s="0" t="s">
        <v>58</v>
      </c>
      <c r="AE141" s="0" t="s">
        <v>592</v>
      </c>
      <c r="AF141" s="0" t="s">
        <v>464</v>
      </c>
      <c r="AG141" s="0" t="s">
        <v>58</v>
      </c>
      <c r="AH141" s="0" t="s">
        <v>58</v>
      </c>
    </row>
    <row r="142" customFormat="false" ht="14.4" hidden="false" customHeight="false" outlineLevel="0" collapsed="false">
      <c r="A142" s="0" t="n">
        <v>165</v>
      </c>
      <c r="B142" s="0" t="s">
        <v>959</v>
      </c>
      <c r="C142" s="0" t="s">
        <v>429</v>
      </c>
      <c r="D142" s="0" t="s">
        <v>438</v>
      </c>
      <c r="E142" s="0" t="s">
        <v>459</v>
      </c>
      <c r="F142" s="0" t="n">
        <v>1763</v>
      </c>
      <c r="G142" s="0" t="s">
        <v>138</v>
      </c>
      <c r="H142" s="0" t="n">
        <v>212</v>
      </c>
      <c r="I142" s="0" t="n">
        <v>65</v>
      </c>
      <c r="J142" s="0" t="n">
        <v>524</v>
      </c>
      <c r="K142" s="0" t="n">
        <v>190</v>
      </c>
      <c r="L142" s="0" t="n">
        <v>150</v>
      </c>
      <c r="M142" s="0" t="n">
        <v>0</v>
      </c>
      <c r="N142" s="0" t="n">
        <v>9</v>
      </c>
      <c r="O142" s="0" t="n">
        <v>181</v>
      </c>
      <c r="P142" s="0" t="n">
        <v>40</v>
      </c>
      <c r="Q142" s="114" t="n">
        <v>84</v>
      </c>
      <c r="R142" s="144" t="n">
        <v>182</v>
      </c>
      <c r="S142" s="114" t="n">
        <v>0.75</v>
      </c>
      <c r="T142" s="114" t="n">
        <v>1.5</v>
      </c>
      <c r="U142" s="114" t="n">
        <v>0.75</v>
      </c>
      <c r="V142" s="114" t="n">
        <v>0</v>
      </c>
      <c r="W142" s="0" t="s">
        <v>960</v>
      </c>
      <c r="X142" s="114" t="s">
        <v>58</v>
      </c>
      <c r="Y142" s="114" t="s">
        <v>58</v>
      </c>
      <c r="Z142" s="114" t="s">
        <v>58</v>
      </c>
      <c r="AA142" s="0" t="s">
        <v>758</v>
      </c>
      <c r="AB142" s="0" t="s">
        <v>961</v>
      </c>
      <c r="AC142" s="0" t="s">
        <v>58</v>
      </c>
      <c r="AD142" s="0" t="s">
        <v>58</v>
      </c>
      <c r="AE142" s="0" t="s">
        <v>962</v>
      </c>
      <c r="AF142" s="0" t="s">
        <v>464</v>
      </c>
      <c r="AG142" s="0" t="s">
        <v>58</v>
      </c>
      <c r="AH142" s="0" t="s">
        <v>58</v>
      </c>
    </row>
    <row r="143" customFormat="false" ht="14.4" hidden="false" customHeight="false" outlineLevel="0" collapsed="false">
      <c r="A143" s="0" t="n">
        <v>3165</v>
      </c>
      <c r="B143" s="0" t="s">
        <v>963</v>
      </c>
      <c r="C143" s="0" t="s">
        <v>429</v>
      </c>
      <c r="D143" s="0" t="s">
        <v>430</v>
      </c>
      <c r="E143" s="0" t="s">
        <v>74</v>
      </c>
      <c r="F143" s="0" t="n">
        <v>1928</v>
      </c>
      <c r="G143" s="0" t="s">
        <v>138</v>
      </c>
      <c r="H143" s="0" t="n">
        <v>212</v>
      </c>
      <c r="I143" s="0" t="n">
        <v>85</v>
      </c>
      <c r="J143" s="0" t="n">
        <v>589</v>
      </c>
      <c r="K143" s="0" t="n">
        <v>210</v>
      </c>
      <c r="L143" s="0" t="n">
        <v>150</v>
      </c>
      <c r="M143" s="0" t="n">
        <v>0</v>
      </c>
      <c r="N143" s="0" t="n">
        <v>9</v>
      </c>
      <c r="O143" s="0" t="n">
        <v>181</v>
      </c>
      <c r="P143" s="0" t="n">
        <v>40</v>
      </c>
      <c r="Q143" s="0" t="n">
        <v>84</v>
      </c>
      <c r="R143" s="116" t="n">
        <v>182</v>
      </c>
      <c r="S143" s="114" t="n">
        <v>0.85</v>
      </c>
      <c r="T143" s="114" t="n">
        <v>1.65</v>
      </c>
      <c r="U143" s="114" t="n">
        <v>0.75</v>
      </c>
      <c r="V143" s="114" t="n">
        <v>0</v>
      </c>
      <c r="W143" s="114" t="s">
        <v>960</v>
      </c>
      <c r="X143" s="114" t="s">
        <v>964</v>
      </c>
      <c r="Y143" s="114" t="s">
        <v>58</v>
      </c>
      <c r="Z143" s="114" t="s">
        <v>58</v>
      </c>
      <c r="AA143" s="114" t="s">
        <v>758</v>
      </c>
      <c r="AB143" s="114" t="s">
        <v>965</v>
      </c>
      <c r="AC143" s="114" t="s">
        <v>961</v>
      </c>
      <c r="AD143" s="114" t="s">
        <v>58</v>
      </c>
      <c r="AE143" s="114" t="s">
        <v>962</v>
      </c>
      <c r="AF143" s="114" t="s">
        <v>964</v>
      </c>
      <c r="AG143" s="114" t="s">
        <v>464</v>
      </c>
      <c r="AH143" s="114" t="s">
        <v>58</v>
      </c>
    </row>
    <row r="144" customFormat="false" ht="14.4" hidden="false" customHeight="false" outlineLevel="0" collapsed="false">
      <c r="A144" s="0" t="s">
        <v>966</v>
      </c>
      <c r="B144" s="0" t="s">
        <v>967</v>
      </c>
      <c r="C144" s="0" t="s">
        <v>925</v>
      </c>
      <c r="D144" s="0" t="s">
        <v>430</v>
      </c>
      <c r="E144" s="0" t="s">
        <v>74</v>
      </c>
      <c r="F144" s="0" t="n">
        <v>1830</v>
      </c>
      <c r="G144" s="0" t="s">
        <v>138</v>
      </c>
      <c r="H144" s="0" t="n">
        <v>217</v>
      </c>
      <c r="I144" s="0" t="n">
        <v>76</v>
      </c>
      <c r="J144" s="0" t="n">
        <v>484</v>
      </c>
      <c r="K144" s="0" t="n">
        <v>191</v>
      </c>
      <c r="L144" s="0" t="n">
        <v>178</v>
      </c>
      <c r="M144" s="0" t="n">
        <v>201</v>
      </c>
      <c r="N144" s="0" t="n">
        <v>9</v>
      </c>
      <c r="O144" s="0" t="n">
        <v>200</v>
      </c>
      <c r="P144" s="0" t="n">
        <v>40</v>
      </c>
      <c r="Q144" s="0" t="n">
        <v>69</v>
      </c>
      <c r="R144" s="116" t="n">
        <v>191</v>
      </c>
      <c r="S144" s="114" t="n">
        <v>0.85</v>
      </c>
      <c r="T144" s="114" t="n">
        <v>1.5</v>
      </c>
      <c r="U144" s="114" t="n">
        <v>0.8</v>
      </c>
      <c r="V144" s="114" t="n">
        <v>0</v>
      </c>
      <c r="W144" s="153" t="s">
        <v>968</v>
      </c>
      <c r="X144" s="114" t="s">
        <v>58</v>
      </c>
      <c r="Y144" s="114" t="s">
        <v>58</v>
      </c>
      <c r="Z144" s="114" t="s">
        <v>58</v>
      </c>
      <c r="AA144" s="114" t="s">
        <v>969</v>
      </c>
      <c r="AB144" s="114" t="s">
        <v>970</v>
      </c>
      <c r="AC144" s="114" t="s">
        <v>58</v>
      </c>
      <c r="AD144" s="114" t="s">
        <v>58</v>
      </c>
      <c r="AE144" s="114" t="s">
        <v>968</v>
      </c>
      <c r="AF144" s="114" t="s">
        <v>971</v>
      </c>
      <c r="AG144" s="114" t="s">
        <v>58</v>
      </c>
      <c r="AH144" s="114" t="s">
        <v>58</v>
      </c>
    </row>
    <row r="145" customFormat="false" ht="14.4" hidden="false" customHeight="false" outlineLevel="0" collapsed="false">
      <c r="A145" s="0" t="n">
        <v>168</v>
      </c>
      <c r="B145" s="0" t="s">
        <v>972</v>
      </c>
      <c r="C145" s="0" t="s">
        <v>429</v>
      </c>
      <c r="D145" s="0" t="s">
        <v>527</v>
      </c>
      <c r="E145" s="0" t="s">
        <v>459</v>
      </c>
      <c r="F145" s="0" t="n">
        <v>1848</v>
      </c>
      <c r="G145" s="0" t="s">
        <v>138</v>
      </c>
      <c r="H145" s="0" t="n">
        <v>196</v>
      </c>
      <c r="I145" s="0" t="n">
        <v>63</v>
      </c>
      <c r="J145" s="0" t="n">
        <v>502</v>
      </c>
      <c r="K145" s="0" t="n">
        <v>192</v>
      </c>
      <c r="L145" s="0" t="n">
        <v>145</v>
      </c>
      <c r="M145" s="0" t="n">
        <v>0</v>
      </c>
      <c r="N145" s="0" t="n">
        <v>7</v>
      </c>
      <c r="O145" s="0" t="n">
        <v>173</v>
      </c>
      <c r="P145" s="0" t="n">
        <v>42</v>
      </c>
      <c r="Q145" s="114" t="n">
        <v>25</v>
      </c>
      <c r="R145" s="144" t="n">
        <v>184</v>
      </c>
      <c r="S145" s="114" t="n">
        <v>0.75</v>
      </c>
      <c r="T145" s="114" t="n">
        <v>1.5</v>
      </c>
      <c r="U145" s="114" t="n">
        <v>0.75</v>
      </c>
      <c r="V145" s="114" t="n">
        <v>0</v>
      </c>
      <c r="W145" s="152" t="s">
        <v>691</v>
      </c>
      <c r="X145" s="114" t="s">
        <v>58</v>
      </c>
      <c r="Y145" s="114" t="s">
        <v>58</v>
      </c>
      <c r="Z145" s="114" t="s">
        <v>58</v>
      </c>
      <c r="AA145" s="0" t="s">
        <v>518</v>
      </c>
      <c r="AB145" s="0" t="s">
        <v>973</v>
      </c>
      <c r="AC145" s="0" t="s">
        <v>58</v>
      </c>
      <c r="AD145" s="0" t="s">
        <v>58</v>
      </c>
      <c r="AE145" s="0" t="s">
        <v>520</v>
      </c>
      <c r="AF145" s="0" t="s">
        <v>464</v>
      </c>
      <c r="AG145" s="0" t="s">
        <v>58</v>
      </c>
      <c r="AH145" s="0" t="s">
        <v>58</v>
      </c>
    </row>
    <row r="146" customFormat="false" ht="14.4" hidden="false" customHeight="false" outlineLevel="0" collapsed="false">
      <c r="A146" s="0" t="n">
        <v>3168</v>
      </c>
      <c r="B146" s="0" t="s">
        <v>974</v>
      </c>
      <c r="C146" s="0" t="s">
        <v>429</v>
      </c>
      <c r="D146" s="0" t="s">
        <v>472</v>
      </c>
      <c r="E146" s="0" t="s">
        <v>459</v>
      </c>
      <c r="F146" s="0" t="n">
        <v>1908</v>
      </c>
      <c r="G146" s="0" t="s">
        <v>138</v>
      </c>
      <c r="H146" s="0" t="n">
        <v>196</v>
      </c>
      <c r="I146" s="0" t="n">
        <v>73</v>
      </c>
      <c r="J146" s="0" t="n">
        <v>562</v>
      </c>
      <c r="K146" s="0" t="n">
        <v>212</v>
      </c>
      <c r="L146" s="0" t="n">
        <v>145</v>
      </c>
      <c r="M146" s="0" t="n">
        <v>0</v>
      </c>
      <c r="N146" s="0" t="n">
        <v>7</v>
      </c>
      <c r="O146" s="0" t="n">
        <v>173</v>
      </c>
      <c r="P146" s="0" t="n">
        <v>45</v>
      </c>
      <c r="Q146" s="114" t="n">
        <v>25</v>
      </c>
      <c r="R146" s="144" t="n">
        <v>184</v>
      </c>
      <c r="S146" s="114" t="n">
        <v>0.8</v>
      </c>
      <c r="T146" s="114" t="n">
        <v>1.65</v>
      </c>
      <c r="U146" s="114" t="n">
        <v>0.75</v>
      </c>
      <c r="V146" s="114" t="n">
        <v>0</v>
      </c>
      <c r="W146" s="114" t="s">
        <v>691</v>
      </c>
      <c r="X146" s="114" t="s">
        <v>58</v>
      </c>
      <c r="Y146" s="114" t="s">
        <v>58</v>
      </c>
      <c r="Z146" s="114" t="s">
        <v>58</v>
      </c>
      <c r="AA146" s="0" t="s">
        <v>518</v>
      </c>
      <c r="AB146" s="0" t="s">
        <v>975</v>
      </c>
      <c r="AC146" s="0" t="s">
        <v>973</v>
      </c>
      <c r="AD146" s="0" t="s">
        <v>58</v>
      </c>
      <c r="AE146" s="0" t="s">
        <v>520</v>
      </c>
      <c r="AF146" s="0" t="s">
        <v>490</v>
      </c>
      <c r="AG146" s="0" t="s">
        <v>464</v>
      </c>
      <c r="AH146" s="0" t="s">
        <v>58</v>
      </c>
    </row>
    <row r="147" customFormat="false" ht="14.4" hidden="false" customHeight="false" outlineLevel="0" collapsed="false">
      <c r="A147" s="0" t="n">
        <v>163</v>
      </c>
      <c r="B147" s="0" t="s">
        <v>976</v>
      </c>
      <c r="C147" s="0" t="s">
        <v>429</v>
      </c>
      <c r="D147" s="0" t="s">
        <v>472</v>
      </c>
      <c r="E147" s="0" t="s">
        <v>459</v>
      </c>
      <c r="F147" s="0" t="n">
        <v>1712</v>
      </c>
      <c r="G147" s="0" t="s">
        <v>138</v>
      </c>
      <c r="H147" s="0" t="n">
        <v>196</v>
      </c>
      <c r="I147" s="0" t="n">
        <v>65</v>
      </c>
      <c r="J147" s="0" t="n">
        <v>509</v>
      </c>
      <c r="K147" s="0" t="n">
        <v>190</v>
      </c>
      <c r="L147" s="0" t="n">
        <v>150</v>
      </c>
      <c r="M147" s="0" t="n">
        <v>0</v>
      </c>
      <c r="N147" s="0" t="n">
        <v>8</v>
      </c>
      <c r="O147" s="0" t="n">
        <v>165</v>
      </c>
      <c r="P147" s="0" t="n">
        <v>40</v>
      </c>
      <c r="Q147" s="114" t="n">
        <v>41</v>
      </c>
      <c r="R147" s="144" t="n">
        <v>182</v>
      </c>
      <c r="S147" s="114" t="n">
        <v>0.75</v>
      </c>
      <c r="T147" s="114" t="n">
        <v>1.5</v>
      </c>
      <c r="U147" s="114" t="n">
        <v>0.75</v>
      </c>
      <c r="V147" s="114" t="n">
        <v>0</v>
      </c>
      <c r="W147" s="0" t="s">
        <v>960</v>
      </c>
      <c r="X147" s="114" t="s">
        <v>58</v>
      </c>
      <c r="Y147" s="114" t="s">
        <v>58</v>
      </c>
      <c r="Z147" s="114" t="s">
        <v>58</v>
      </c>
      <c r="AA147" s="0" t="s">
        <v>977</v>
      </c>
      <c r="AB147" s="0" t="s">
        <v>978</v>
      </c>
      <c r="AC147" s="0" t="s">
        <v>58</v>
      </c>
      <c r="AD147" s="0" t="s">
        <v>58</v>
      </c>
      <c r="AE147" s="0" t="s">
        <v>782</v>
      </c>
      <c r="AF147" s="0" t="s">
        <v>464</v>
      </c>
      <c r="AG147" s="0" t="s">
        <v>58</v>
      </c>
      <c r="AH147" s="0" t="s">
        <v>58</v>
      </c>
    </row>
    <row r="148" customFormat="false" ht="14.4" hidden="false" customHeight="false" outlineLevel="0" collapsed="false">
      <c r="A148" s="0" t="n">
        <v>26</v>
      </c>
      <c r="B148" s="0" t="s">
        <v>979</v>
      </c>
      <c r="C148" s="0" t="s">
        <v>437</v>
      </c>
      <c r="D148" s="0" t="s">
        <v>472</v>
      </c>
      <c r="E148" s="0" t="s">
        <v>459</v>
      </c>
      <c r="F148" s="0" t="n">
        <v>1815</v>
      </c>
      <c r="G148" s="0" t="s">
        <v>138</v>
      </c>
      <c r="H148" s="0" t="n">
        <v>204</v>
      </c>
      <c r="I148" s="0" t="n">
        <v>81</v>
      </c>
      <c r="J148" s="0" t="n">
        <v>286</v>
      </c>
      <c r="K148" s="0" t="n">
        <v>160</v>
      </c>
      <c r="L148" s="0" t="n">
        <v>172</v>
      </c>
      <c r="M148" s="0" t="n">
        <v>0</v>
      </c>
      <c r="N148" s="0" t="n">
        <v>8</v>
      </c>
      <c r="O148" s="0" t="n">
        <v>208</v>
      </c>
      <c r="P148" s="0" t="n">
        <v>42</v>
      </c>
      <c r="Q148" s="114" t="n">
        <v>45</v>
      </c>
      <c r="R148" s="144" t="n">
        <v>178</v>
      </c>
      <c r="S148" s="114" t="n">
        <v>1.2</v>
      </c>
      <c r="T148" s="114" t="n">
        <v>1.3</v>
      </c>
      <c r="U148" s="114" t="n">
        <v>1.3</v>
      </c>
      <c r="V148" s="114" t="n">
        <v>0</v>
      </c>
      <c r="W148" s="0" t="s">
        <v>697</v>
      </c>
      <c r="X148" s="114" t="s">
        <v>58</v>
      </c>
      <c r="Y148" s="114" t="s">
        <v>58</v>
      </c>
      <c r="Z148" s="114" t="s">
        <v>58</v>
      </c>
      <c r="AA148" s="0" t="s">
        <v>674</v>
      </c>
      <c r="AB148" s="0" t="s">
        <v>980</v>
      </c>
      <c r="AC148" s="0" t="s">
        <v>58</v>
      </c>
      <c r="AD148" s="0" t="s">
        <v>58</v>
      </c>
      <c r="AE148" s="0" t="s">
        <v>676</v>
      </c>
      <c r="AF148" s="0" t="s">
        <v>464</v>
      </c>
      <c r="AG148" s="0" t="s">
        <v>58</v>
      </c>
      <c r="AH148" s="0" t="s">
        <v>58</v>
      </c>
    </row>
    <row r="149" customFormat="false" ht="14.4" hidden="false" customHeight="false" outlineLevel="0" collapsed="false">
      <c r="A149" s="0" t="n">
        <v>3026</v>
      </c>
      <c r="B149" s="0" t="s">
        <v>981</v>
      </c>
      <c r="C149" s="0" t="s">
        <v>437</v>
      </c>
      <c r="D149" s="0" t="s">
        <v>472</v>
      </c>
      <c r="E149" s="0" t="s">
        <v>74</v>
      </c>
      <c r="F149" s="0" t="n">
        <v>2025</v>
      </c>
      <c r="G149" s="0" t="s">
        <v>138</v>
      </c>
      <c r="H149" s="0" t="n">
        <v>219</v>
      </c>
      <c r="I149" s="0" t="n">
        <v>111</v>
      </c>
      <c r="J149" s="0" t="n">
        <v>286</v>
      </c>
      <c r="K149" s="0" t="n">
        <v>160</v>
      </c>
      <c r="L149" s="0" t="n">
        <v>262</v>
      </c>
      <c r="M149" s="0" t="n">
        <v>0</v>
      </c>
      <c r="N149" s="0" t="n">
        <v>8</v>
      </c>
      <c r="O149" s="0" t="n">
        <v>208</v>
      </c>
      <c r="P149" s="0" t="n">
        <v>45</v>
      </c>
      <c r="Q149" s="0" t="n">
        <v>45</v>
      </c>
      <c r="R149" s="144" t="n">
        <v>178</v>
      </c>
      <c r="S149" s="114" t="n">
        <v>1.25</v>
      </c>
      <c r="T149" s="114" t="n">
        <v>1.3</v>
      </c>
      <c r="U149" s="114" t="n">
        <v>1.35</v>
      </c>
      <c r="V149" s="114" t="n">
        <v>0</v>
      </c>
      <c r="W149" s="0" t="s">
        <v>697</v>
      </c>
      <c r="X149" s="114" t="s">
        <v>58</v>
      </c>
      <c r="Y149" s="114" t="s">
        <v>58</v>
      </c>
      <c r="Z149" s="114" t="s">
        <v>58</v>
      </c>
      <c r="AA149" s="0" t="s">
        <v>674</v>
      </c>
      <c r="AB149" s="0" t="s">
        <v>982</v>
      </c>
      <c r="AC149" s="0" t="s">
        <v>980</v>
      </c>
      <c r="AD149" s="0" t="s">
        <v>58</v>
      </c>
      <c r="AE149" s="0" t="s">
        <v>676</v>
      </c>
      <c r="AF149" s="0" t="s">
        <v>478</v>
      </c>
      <c r="AG149" s="0" t="s">
        <v>464</v>
      </c>
      <c r="AH149" s="0" t="s">
        <v>58</v>
      </c>
    </row>
    <row r="150" customFormat="false" ht="14.4" hidden="false" customHeight="false" outlineLevel="0" collapsed="false">
      <c r="A150" s="0" t="n">
        <v>417</v>
      </c>
      <c r="B150" s="0" t="s">
        <v>983</v>
      </c>
      <c r="C150" s="0" t="s">
        <v>437</v>
      </c>
      <c r="D150" s="0" t="s">
        <v>472</v>
      </c>
      <c r="E150" s="0" t="s">
        <v>74</v>
      </c>
      <c r="F150" s="0" t="n">
        <v>2095</v>
      </c>
      <c r="G150" s="0" t="s">
        <v>138</v>
      </c>
      <c r="H150" s="0" t="n">
        <v>203</v>
      </c>
      <c r="I150" s="0" t="n">
        <v>87</v>
      </c>
      <c r="J150" s="0" t="n">
        <v>283</v>
      </c>
      <c r="K150" s="0" t="n">
        <v>160</v>
      </c>
      <c r="L150" s="0" t="n">
        <v>189</v>
      </c>
      <c r="M150" s="0" t="n">
        <v>0</v>
      </c>
      <c r="N150" s="0" t="n">
        <v>8</v>
      </c>
      <c r="O150" s="0" t="n">
        <v>210</v>
      </c>
      <c r="P150" s="0" t="n">
        <v>42</v>
      </c>
      <c r="Q150" s="0" t="n">
        <v>65</v>
      </c>
      <c r="R150" s="116" t="n">
        <v>197</v>
      </c>
      <c r="S150" s="114" t="n">
        <v>1.2</v>
      </c>
      <c r="T150" s="114" t="n">
        <v>1.3</v>
      </c>
      <c r="U150" s="114" t="n">
        <v>1.35</v>
      </c>
      <c r="V150" s="114" t="n">
        <v>0</v>
      </c>
      <c r="W150" s="114" t="s">
        <v>528</v>
      </c>
      <c r="X150" s="114" t="s">
        <v>58</v>
      </c>
      <c r="Y150" s="114" t="s">
        <v>58</v>
      </c>
      <c r="Z150" s="114" t="s">
        <v>58</v>
      </c>
      <c r="AA150" s="114" t="s">
        <v>649</v>
      </c>
      <c r="AB150" s="0" t="s">
        <v>688</v>
      </c>
      <c r="AC150" s="0" t="s">
        <v>58</v>
      </c>
      <c r="AD150" s="0" t="s">
        <v>58</v>
      </c>
      <c r="AE150" s="114" t="s">
        <v>984</v>
      </c>
      <c r="AF150" s="0" t="s">
        <v>464</v>
      </c>
      <c r="AG150" s="0" t="s">
        <v>58</v>
      </c>
      <c r="AH150" s="0" t="s">
        <v>58</v>
      </c>
    </row>
    <row r="151" customFormat="false" ht="14.4" hidden="false" customHeight="false" outlineLevel="0" collapsed="false">
      <c r="A151" s="0" t="n">
        <v>17</v>
      </c>
      <c r="B151" s="0" t="s">
        <v>985</v>
      </c>
      <c r="C151" s="0" t="s">
        <v>437</v>
      </c>
      <c r="D151" s="0" t="s">
        <v>527</v>
      </c>
      <c r="E151" s="0" t="s">
        <v>459</v>
      </c>
      <c r="F151" s="0" t="n">
        <v>1998</v>
      </c>
      <c r="G151" s="0" t="s">
        <v>138</v>
      </c>
      <c r="H151" s="0" t="n">
        <v>196</v>
      </c>
      <c r="I151" s="0" t="n">
        <v>82</v>
      </c>
      <c r="J151" s="0" t="n">
        <v>279</v>
      </c>
      <c r="K151" s="0" t="n">
        <v>158</v>
      </c>
      <c r="L151" s="0" t="n">
        <v>171</v>
      </c>
      <c r="M151" s="0" t="n">
        <v>0</v>
      </c>
      <c r="N151" s="0" t="n">
        <v>7</v>
      </c>
      <c r="O151" s="0" t="n">
        <v>202</v>
      </c>
      <c r="P151" s="0" t="n">
        <v>42</v>
      </c>
      <c r="Q151" s="114" t="n">
        <v>20</v>
      </c>
      <c r="R151" s="144" t="n">
        <v>197</v>
      </c>
      <c r="S151" s="114" t="n">
        <v>1.2</v>
      </c>
      <c r="T151" s="114" t="n">
        <v>1.3</v>
      </c>
      <c r="U151" s="114" t="n">
        <v>1.3</v>
      </c>
      <c r="V151" s="114" t="n">
        <v>0</v>
      </c>
      <c r="W151" s="152" t="s">
        <v>528</v>
      </c>
      <c r="X151" s="114" t="s">
        <v>58</v>
      </c>
      <c r="Y151" s="114" t="s">
        <v>58</v>
      </c>
      <c r="Z151" s="114" t="s">
        <v>58</v>
      </c>
      <c r="AA151" s="0" t="s">
        <v>529</v>
      </c>
      <c r="AB151" s="0" t="s">
        <v>530</v>
      </c>
      <c r="AC151" s="0" t="s">
        <v>58</v>
      </c>
      <c r="AD151" s="0" t="s">
        <v>58</v>
      </c>
      <c r="AE151" s="0" t="s">
        <v>531</v>
      </c>
      <c r="AF151" s="0" t="s">
        <v>464</v>
      </c>
      <c r="AG151" s="0" t="s">
        <v>58</v>
      </c>
      <c r="AH151" s="0" t="s">
        <v>58</v>
      </c>
    </row>
    <row r="152" customFormat="false" ht="14.4" hidden="false" customHeight="false" outlineLevel="0" collapsed="false">
      <c r="A152" s="0" t="n">
        <v>409</v>
      </c>
      <c r="B152" s="0" t="s">
        <v>986</v>
      </c>
      <c r="C152" s="0" t="s">
        <v>437</v>
      </c>
      <c r="D152" s="0" t="s">
        <v>472</v>
      </c>
      <c r="E152" s="0" t="s">
        <v>74</v>
      </c>
      <c r="F152" s="0" t="n">
        <v>2095</v>
      </c>
      <c r="G152" s="0" t="s">
        <v>138</v>
      </c>
      <c r="H152" s="0" t="n">
        <v>204</v>
      </c>
      <c r="I152" s="0" t="n">
        <v>85</v>
      </c>
      <c r="J152" s="0" t="n">
        <v>283</v>
      </c>
      <c r="K152" s="0" t="n">
        <v>160</v>
      </c>
      <c r="L152" s="0" t="n">
        <v>172</v>
      </c>
      <c r="M152" s="0" t="n">
        <v>0</v>
      </c>
      <c r="N152" s="0" t="n">
        <v>8</v>
      </c>
      <c r="O152" s="0" t="n">
        <v>206</v>
      </c>
      <c r="P152" s="0" t="n">
        <v>42</v>
      </c>
      <c r="Q152" s="0" t="n">
        <v>90</v>
      </c>
      <c r="R152" s="116" t="n">
        <v>197</v>
      </c>
      <c r="S152" s="114" t="n">
        <v>1.2</v>
      </c>
      <c r="T152" s="114" t="n">
        <v>1.3</v>
      </c>
      <c r="U152" s="114" t="n">
        <v>1.35</v>
      </c>
      <c r="V152" s="114" t="n">
        <v>0</v>
      </c>
      <c r="W152" s="114" t="s">
        <v>528</v>
      </c>
      <c r="X152" s="114" t="s">
        <v>58</v>
      </c>
      <c r="Y152" s="114" t="s">
        <v>58</v>
      </c>
      <c r="Z152" s="114" t="s">
        <v>58</v>
      </c>
      <c r="AA152" s="114" t="s">
        <v>987</v>
      </c>
      <c r="AB152" s="0" t="s">
        <v>988</v>
      </c>
      <c r="AC152" s="0" t="s">
        <v>58</v>
      </c>
      <c r="AD152" s="0" t="s">
        <v>58</v>
      </c>
      <c r="AE152" s="114" t="s">
        <v>702</v>
      </c>
      <c r="AF152" s="0" t="s">
        <v>464</v>
      </c>
      <c r="AG152" s="0" t="s">
        <v>58</v>
      </c>
      <c r="AH152" s="0" t="s">
        <v>58</v>
      </c>
    </row>
    <row r="153" customFormat="false" ht="14.4" hidden="false" customHeight="false" outlineLevel="0" collapsed="false">
      <c r="A153" s="0" t="n">
        <v>468</v>
      </c>
      <c r="B153" s="0" t="s">
        <v>989</v>
      </c>
      <c r="C153" s="0" t="s">
        <v>429</v>
      </c>
      <c r="D153" s="0" t="s">
        <v>430</v>
      </c>
      <c r="E153" s="0" t="s">
        <v>74</v>
      </c>
      <c r="F153" s="0" t="n">
        <v>2538</v>
      </c>
      <c r="G153" s="0" t="s">
        <v>138</v>
      </c>
      <c r="H153" s="0" t="n">
        <v>218</v>
      </c>
      <c r="I153" s="0" t="n">
        <v>81</v>
      </c>
      <c r="J153" s="0" t="n">
        <v>384</v>
      </c>
      <c r="K153" s="0" t="n">
        <v>179</v>
      </c>
      <c r="L153" s="0" t="n">
        <v>205</v>
      </c>
      <c r="M153" s="0" t="n">
        <v>0</v>
      </c>
      <c r="N153" s="0" t="n">
        <v>10</v>
      </c>
      <c r="O153" s="0" t="n">
        <v>207</v>
      </c>
      <c r="P153" s="0" t="n">
        <v>39</v>
      </c>
      <c r="Q153" s="0" t="n">
        <v>72</v>
      </c>
      <c r="R153" s="116" t="n">
        <v>180</v>
      </c>
      <c r="S153" s="114" t="n">
        <v>1.1</v>
      </c>
      <c r="T153" s="114" t="n">
        <v>1.35</v>
      </c>
      <c r="U153" s="114" t="n">
        <v>1.45</v>
      </c>
      <c r="V153" s="114" t="n">
        <v>0</v>
      </c>
      <c r="W153" s="114" t="s">
        <v>990</v>
      </c>
      <c r="X153" s="114" t="s">
        <v>991</v>
      </c>
      <c r="Y153" s="114" t="s">
        <v>992</v>
      </c>
      <c r="Z153" s="114" t="s">
        <v>993</v>
      </c>
      <c r="AA153" s="114" t="s">
        <v>994</v>
      </c>
      <c r="AB153" s="114" t="s">
        <v>995</v>
      </c>
      <c r="AC153" s="114" t="s">
        <v>996</v>
      </c>
      <c r="AD153" s="0" t="s">
        <v>58</v>
      </c>
      <c r="AE153" s="114" t="s">
        <v>997</v>
      </c>
      <c r="AF153" s="114" t="s">
        <v>990</v>
      </c>
      <c r="AG153" s="114" t="s">
        <v>464</v>
      </c>
      <c r="AH153" s="0" t="s">
        <v>58</v>
      </c>
    </row>
    <row r="154" customFormat="false" ht="14.4" hidden="false" customHeight="false" outlineLevel="0" collapsed="false">
      <c r="A154" s="0" t="n">
        <v>256</v>
      </c>
      <c r="B154" s="0" t="s">
        <v>998</v>
      </c>
      <c r="C154" s="0" t="s">
        <v>497</v>
      </c>
      <c r="D154" s="0" t="s">
        <v>438</v>
      </c>
      <c r="E154" s="0" t="s">
        <v>459</v>
      </c>
      <c r="F154" s="0" t="n">
        <v>2277</v>
      </c>
      <c r="G154" s="0" t="s">
        <v>138</v>
      </c>
      <c r="H154" s="0" t="n">
        <v>199</v>
      </c>
      <c r="I154" s="0" t="n">
        <v>128</v>
      </c>
      <c r="J154" s="0" t="n">
        <v>229</v>
      </c>
      <c r="K154" s="0" t="n">
        <v>165</v>
      </c>
      <c r="L154" s="0" t="n">
        <v>174</v>
      </c>
      <c r="M154" s="0" t="n">
        <v>0</v>
      </c>
      <c r="N154" s="0" t="n">
        <v>9</v>
      </c>
      <c r="O154" s="0" t="n">
        <v>200</v>
      </c>
      <c r="P154" s="0" t="n">
        <v>45</v>
      </c>
      <c r="Q154" s="114" t="n">
        <v>71</v>
      </c>
      <c r="R154" s="144" t="n">
        <v>186</v>
      </c>
      <c r="S154" s="114" t="n">
        <v>1.55</v>
      </c>
      <c r="T154" s="114" t="n">
        <v>1</v>
      </c>
      <c r="U154" s="114" t="n">
        <v>1.05</v>
      </c>
      <c r="V154" s="114" t="n">
        <v>0</v>
      </c>
      <c r="W154" s="0" t="s">
        <v>498</v>
      </c>
      <c r="X154" s="0" t="s">
        <v>499</v>
      </c>
      <c r="Y154" s="114" t="s">
        <v>58</v>
      </c>
      <c r="Z154" s="114" t="s">
        <v>58</v>
      </c>
      <c r="AA154" s="0" t="s">
        <v>999</v>
      </c>
      <c r="AB154" s="0" t="s">
        <v>1000</v>
      </c>
      <c r="AC154" s="0" t="s">
        <v>58</v>
      </c>
      <c r="AD154" s="0" t="s">
        <v>58</v>
      </c>
      <c r="AE154" s="0" t="s">
        <v>1001</v>
      </c>
      <c r="AF154" s="0" t="s">
        <v>464</v>
      </c>
      <c r="AG154" s="0" t="s">
        <v>58</v>
      </c>
      <c r="AH154" s="0" t="s">
        <v>58</v>
      </c>
    </row>
    <row r="155" customFormat="false" ht="14.4" hidden="false" customHeight="false" outlineLevel="0" collapsed="false">
      <c r="A155" s="0" t="n">
        <v>319</v>
      </c>
      <c r="B155" s="0" t="s">
        <v>1002</v>
      </c>
      <c r="C155" s="0" t="s">
        <v>429</v>
      </c>
      <c r="D155" s="0" t="s">
        <v>472</v>
      </c>
      <c r="E155" s="0" t="s">
        <v>459</v>
      </c>
      <c r="F155" s="0" t="n">
        <v>2083</v>
      </c>
      <c r="G155" s="0" t="s">
        <v>138</v>
      </c>
      <c r="H155" s="0" t="n">
        <v>196</v>
      </c>
      <c r="I155" s="0" t="n">
        <v>65</v>
      </c>
      <c r="J155" s="0" t="n">
        <v>512</v>
      </c>
      <c r="K155" s="0" t="n">
        <v>191</v>
      </c>
      <c r="L155" s="0" t="n">
        <v>154</v>
      </c>
      <c r="M155" s="0" t="n">
        <v>0</v>
      </c>
      <c r="N155" s="0" t="n">
        <v>8</v>
      </c>
      <c r="O155" s="0" t="n">
        <v>165</v>
      </c>
      <c r="P155" s="0" t="n">
        <v>42</v>
      </c>
      <c r="Q155" s="114" t="n">
        <v>52</v>
      </c>
      <c r="R155" s="144" t="n">
        <v>184</v>
      </c>
      <c r="S155" s="114" t="n">
        <v>0.75</v>
      </c>
      <c r="T155" s="114" t="n">
        <v>1.5</v>
      </c>
      <c r="U155" s="114" t="n">
        <v>0.75</v>
      </c>
      <c r="V155" s="114" t="n">
        <v>0</v>
      </c>
      <c r="W155" s="152" t="s">
        <v>691</v>
      </c>
      <c r="X155" s="114" t="s">
        <v>58</v>
      </c>
      <c r="Y155" s="114" t="s">
        <v>58</v>
      </c>
      <c r="Z155" s="114" t="s">
        <v>58</v>
      </c>
      <c r="AA155" s="0" t="s">
        <v>1003</v>
      </c>
      <c r="AB155" s="0" t="s">
        <v>693</v>
      </c>
      <c r="AC155" s="0" t="s">
        <v>58</v>
      </c>
      <c r="AD155" s="0" t="s">
        <v>58</v>
      </c>
      <c r="AE155" s="0" t="s">
        <v>1004</v>
      </c>
      <c r="AF155" s="0" t="s">
        <v>464</v>
      </c>
      <c r="AG155" s="0" t="s">
        <v>58</v>
      </c>
      <c r="AH155" s="0" t="s">
        <v>58</v>
      </c>
    </row>
    <row r="156" customFormat="false" ht="14.4" hidden="false" customHeight="false" outlineLevel="0" collapsed="false">
      <c r="A156" s="0" t="n">
        <v>3319</v>
      </c>
      <c r="B156" s="0" t="s">
        <v>1005</v>
      </c>
      <c r="C156" s="0" t="s">
        <v>429</v>
      </c>
      <c r="D156" s="0" t="s">
        <v>438</v>
      </c>
      <c r="E156" s="0" t="s">
        <v>459</v>
      </c>
      <c r="F156" s="0" t="n">
        <v>2143</v>
      </c>
      <c r="G156" s="0" t="s">
        <v>138</v>
      </c>
      <c r="H156" s="0" t="n">
        <v>196</v>
      </c>
      <c r="I156" s="0" t="n">
        <v>75</v>
      </c>
      <c r="J156" s="0" t="n">
        <v>572</v>
      </c>
      <c r="K156" s="0" t="n">
        <v>211</v>
      </c>
      <c r="L156" s="0" t="n">
        <v>154</v>
      </c>
      <c r="M156" s="0" t="n">
        <v>0</v>
      </c>
      <c r="N156" s="0" t="n">
        <v>8</v>
      </c>
      <c r="O156" s="0" t="n">
        <v>165</v>
      </c>
      <c r="P156" s="0" t="n">
        <v>45</v>
      </c>
      <c r="Q156" s="114" t="n">
        <v>52</v>
      </c>
      <c r="R156" s="144" t="n">
        <v>184</v>
      </c>
      <c r="S156" s="114" t="n">
        <v>0.8</v>
      </c>
      <c r="T156" s="114" t="n">
        <v>1.65</v>
      </c>
      <c r="U156" s="114" t="n">
        <v>0.75</v>
      </c>
      <c r="V156" s="114" t="n">
        <v>0</v>
      </c>
      <c r="W156" s="114" t="s">
        <v>691</v>
      </c>
      <c r="X156" s="114" t="s">
        <v>58</v>
      </c>
      <c r="Y156" s="114" t="s">
        <v>58</v>
      </c>
      <c r="Z156" s="114" t="s">
        <v>58</v>
      </c>
      <c r="AA156" s="0" t="s">
        <v>1003</v>
      </c>
      <c r="AB156" s="0" t="s">
        <v>886</v>
      </c>
      <c r="AC156" s="0" t="s">
        <v>693</v>
      </c>
      <c r="AD156" s="0" t="s">
        <v>58</v>
      </c>
      <c r="AE156" s="0" t="s">
        <v>1004</v>
      </c>
      <c r="AF156" s="0" t="s">
        <v>889</v>
      </c>
      <c r="AG156" s="0" t="s">
        <v>464</v>
      </c>
      <c r="AH156" s="0" t="s">
        <v>58</v>
      </c>
    </row>
    <row r="157" customFormat="false" ht="14.4" hidden="false" customHeight="false" outlineLevel="0" collapsed="false">
      <c r="A157" s="0" t="n">
        <v>452</v>
      </c>
      <c r="B157" s="0" t="s">
        <v>1006</v>
      </c>
      <c r="C157" s="0" t="s">
        <v>848</v>
      </c>
      <c r="D157" s="0" t="s">
        <v>438</v>
      </c>
      <c r="E157" s="0" t="s">
        <v>74</v>
      </c>
      <c r="F157" s="0" t="n">
        <v>1868</v>
      </c>
      <c r="G157" s="0" t="s">
        <v>138</v>
      </c>
      <c r="H157" s="0" t="n">
        <v>204</v>
      </c>
      <c r="I157" s="0" t="n">
        <v>120</v>
      </c>
      <c r="J157" s="0" t="n">
        <v>273</v>
      </c>
      <c r="K157" s="0" t="n">
        <v>212</v>
      </c>
      <c r="L157" s="0" t="n">
        <v>141</v>
      </c>
      <c r="M157" s="0" t="n">
        <v>0</v>
      </c>
      <c r="N157" s="0" t="n">
        <v>9</v>
      </c>
      <c r="O157" s="0" t="n">
        <v>208</v>
      </c>
      <c r="P157" s="0" t="n">
        <v>43</v>
      </c>
      <c r="Q157" s="0" t="n">
        <v>45</v>
      </c>
      <c r="R157" s="116" t="n">
        <v>183</v>
      </c>
      <c r="S157" s="114" t="n">
        <v>1.4</v>
      </c>
      <c r="T157" s="114" t="n">
        <v>1.4</v>
      </c>
      <c r="U157" s="114" t="n">
        <v>0.75</v>
      </c>
      <c r="V157" s="114" t="n">
        <v>0</v>
      </c>
      <c r="W157" s="114" t="s">
        <v>1007</v>
      </c>
      <c r="X157" s="114" t="s">
        <v>58</v>
      </c>
      <c r="Y157" s="114" t="s">
        <v>58</v>
      </c>
      <c r="Z157" s="114" t="s">
        <v>58</v>
      </c>
      <c r="AA157" s="114" t="s">
        <v>1008</v>
      </c>
      <c r="AB157" s="114" t="s">
        <v>1009</v>
      </c>
      <c r="AC157" s="0" t="s">
        <v>58</v>
      </c>
      <c r="AD157" s="0" t="s">
        <v>58</v>
      </c>
      <c r="AE157" s="114" t="s">
        <v>1010</v>
      </c>
      <c r="AF157" s="114" t="s">
        <v>464</v>
      </c>
      <c r="AG157" s="0" t="s">
        <v>58</v>
      </c>
      <c r="AH157" s="0" t="s">
        <v>58</v>
      </c>
    </row>
    <row r="158" customFormat="false" ht="14.4" hidden="false" customHeight="false" outlineLevel="0" collapsed="false">
      <c r="A158" s="0" t="n">
        <v>433</v>
      </c>
      <c r="B158" s="0" t="s">
        <v>1011</v>
      </c>
      <c r="C158" s="0" t="s">
        <v>680</v>
      </c>
      <c r="D158" s="0" t="s">
        <v>430</v>
      </c>
      <c r="E158" s="0" t="s">
        <v>74</v>
      </c>
      <c r="F158" s="0" t="n">
        <v>2648</v>
      </c>
      <c r="G158" s="0" t="s">
        <v>138</v>
      </c>
      <c r="H158" s="0" t="n">
        <v>204</v>
      </c>
      <c r="I158" s="0" t="n">
        <v>179</v>
      </c>
      <c r="J158" s="0" t="n">
        <v>279</v>
      </c>
      <c r="K158" s="0" t="n">
        <v>179</v>
      </c>
      <c r="L158" s="0" t="n">
        <v>176</v>
      </c>
      <c r="M158" s="0" t="n">
        <v>0</v>
      </c>
      <c r="N158" s="0" t="n">
        <v>9</v>
      </c>
      <c r="O158" s="0" t="n">
        <v>208</v>
      </c>
      <c r="P158" s="0" t="n">
        <v>51</v>
      </c>
      <c r="Q158" s="0" t="n">
        <v>86</v>
      </c>
      <c r="R158" s="116" t="n">
        <v>186</v>
      </c>
      <c r="S158" s="114" t="n">
        <v>1.65</v>
      </c>
      <c r="T158" s="114" t="n">
        <v>1.25</v>
      </c>
      <c r="U158" s="114" t="n">
        <v>1.05</v>
      </c>
      <c r="V158" s="114" t="n">
        <v>0</v>
      </c>
      <c r="W158" s="114" t="s">
        <v>1012</v>
      </c>
      <c r="X158" s="114" t="s">
        <v>1013</v>
      </c>
      <c r="Y158" s="114" t="s">
        <v>58</v>
      </c>
      <c r="Z158" s="114" t="s">
        <v>58</v>
      </c>
      <c r="AA158" s="114" t="s">
        <v>1014</v>
      </c>
      <c r="AB158" s="114" t="s">
        <v>1015</v>
      </c>
      <c r="AC158" s="114" t="s">
        <v>1016</v>
      </c>
      <c r="AD158" s="0" t="s">
        <v>58</v>
      </c>
      <c r="AE158" s="114" t="s">
        <v>1013</v>
      </c>
      <c r="AF158" s="114" t="s">
        <v>1017</v>
      </c>
      <c r="AG158" s="114" t="s">
        <v>464</v>
      </c>
      <c r="AH158" s="0" t="s">
        <v>58</v>
      </c>
    </row>
    <row r="159" customFormat="false" ht="14.4" hidden="false" customHeight="false" outlineLevel="0" collapsed="false">
      <c r="A159" s="0" t="n">
        <v>14</v>
      </c>
      <c r="B159" s="0" t="s">
        <v>1018</v>
      </c>
      <c r="C159" s="0" t="s">
        <v>437</v>
      </c>
      <c r="D159" s="0" t="s">
        <v>472</v>
      </c>
      <c r="E159" s="0" t="s">
        <v>459</v>
      </c>
      <c r="F159" s="0" t="n">
        <v>2037</v>
      </c>
      <c r="G159" s="0" t="s">
        <v>138</v>
      </c>
      <c r="H159" s="0" t="n">
        <v>209</v>
      </c>
      <c r="I159" s="0" t="n">
        <v>85</v>
      </c>
      <c r="J159" s="0" t="n">
        <v>283</v>
      </c>
      <c r="K159" s="0" t="n">
        <v>158</v>
      </c>
      <c r="L159" s="0" t="n">
        <v>172</v>
      </c>
      <c r="M159" s="0" t="n">
        <v>0</v>
      </c>
      <c r="N159" s="0" t="n">
        <v>8</v>
      </c>
      <c r="O159" s="0" t="n">
        <v>206</v>
      </c>
      <c r="P159" s="0" t="n">
        <v>42</v>
      </c>
      <c r="Q159" s="114" t="n">
        <v>65</v>
      </c>
      <c r="R159" s="144" t="n">
        <v>197</v>
      </c>
      <c r="S159" s="114" t="n">
        <v>1.2</v>
      </c>
      <c r="T159" s="114" t="n">
        <v>1.3</v>
      </c>
      <c r="U159" s="114" t="n">
        <v>1.3</v>
      </c>
      <c r="V159" s="114" t="n">
        <v>0</v>
      </c>
      <c r="W159" s="152" t="s">
        <v>528</v>
      </c>
      <c r="X159" s="114" t="s">
        <v>58</v>
      </c>
      <c r="Y159" s="114" t="s">
        <v>58</v>
      </c>
      <c r="Z159" s="114" t="s">
        <v>58</v>
      </c>
      <c r="AA159" s="0" t="s">
        <v>590</v>
      </c>
      <c r="AB159" s="0" t="s">
        <v>688</v>
      </c>
      <c r="AC159" s="0" t="s">
        <v>58</v>
      </c>
      <c r="AD159" s="0" t="s">
        <v>58</v>
      </c>
      <c r="AE159" s="0" t="s">
        <v>592</v>
      </c>
      <c r="AF159" s="0" t="s">
        <v>464</v>
      </c>
      <c r="AG159" s="0" t="s">
        <v>58</v>
      </c>
      <c r="AH159" s="0" t="s">
        <v>58</v>
      </c>
    </row>
    <row r="160" customFormat="false" ht="14.4" hidden="false" customHeight="false" outlineLevel="0" collapsed="false">
      <c r="A160" s="0" t="n">
        <v>2</v>
      </c>
      <c r="B160" s="0" t="s">
        <v>1019</v>
      </c>
      <c r="C160" s="0" t="s">
        <v>1020</v>
      </c>
      <c r="D160" s="0" t="s">
        <v>430</v>
      </c>
      <c r="E160" s="0" t="s">
        <v>459</v>
      </c>
      <c r="F160" s="0" t="n">
        <v>245</v>
      </c>
      <c r="G160" s="0" t="s">
        <v>138</v>
      </c>
      <c r="H160" s="0" t="n">
        <v>122</v>
      </c>
      <c r="I160" s="0" t="n">
        <v>24</v>
      </c>
      <c r="J160" s="0" t="n">
        <v>24</v>
      </c>
      <c r="K160" s="0" t="n">
        <v>122</v>
      </c>
      <c r="L160" s="0" t="n">
        <v>24</v>
      </c>
      <c r="M160" s="0" t="n">
        <v>24</v>
      </c>
      <c r="N160" s="0" t="n">
        <v>3</v>
      </c>
      <c r="O160" s="0" t="n">
        <v>35</v>
      </c>
      <c r="P160" s="0" t="n">
        <v>35</v>
      </c>
      <c r="Q160" s="114" t="n">
        <v>100</v>
      </c>
      <c r="R160" s="144" t="n">
        <v>116</v>
      </c>
      <c r="S160" s="114" t="n">
        <v>1</v>
      </c>
      <c r="T160" s="114" t="n">
        <v>1</v>
      </c>
      <c r="U160" s="114" t="n">
        <v>1</v>
      </c>
      <c r="V160" s="114" t="n">
        <v>1</v>
      </c>
      <c r="W160" s="114" t="s">
        <v>58</v>
      </c>
      <c r="X160" s="114" t="s">
        <v>58</v>
      </c>
      <c r="Y160" s="114" t="s">
        <v>58</v>
      </c>
      <c r="Z160" s="114" t="s">
        <v>58</v>
      </c>
      <c r="AA160" s="0" t="s">
        <v>1021</v>
      </c>
      <c r="AB160" s="0" t="s">
        <v>58</v>
      </c>
      <c r="AC160" s="0" t="s">
        <v>58</v>
      </c>
      <c r="AD160" s="0" t="s">
        <v>58</v>
      </c>
      <c r="AE160" s="0" t="s">
        <v>1022</v>
      </c>
      <c r="AF160" s="0" t="s">
        <v>58</v>
      </c>
      <c r="AG160" s="0" t="s">
        <v>58</v>
      </c>
      <c r="AH160" s="0" t="s">
        <v>58</v>
      </c>
    </row>
    <row r="161" customFormat="false" ht="14.4" hidden="false" customHeight="false" outlineLevel="0" collapsed="false">
      <c r="A161" s="0" t="n">
        <v>1</v>
      </c>
      <c r="B161" s="0" t="s">
        <v>1023</v>
      </c>
      <c r="C161" s="0" t="s">
        <v>1020</v>
      </c>
      <c r="D161" s="0" t="s">
        <v>438</v>
      </c>
      <c r="E161" s="0" t="s">
        <v>459</v>
      </c>
      <c r="F161" s="0" t="n">
        <v>245</v>
      </c>
      <c r="G161" s="0" t="s">
        <v>138</v>
      </c>
      <c r="H161" s="0" t="n">
        <v>122</v>
      </c>
      <c r="I161" s="0" t="n">
        <v>24</v>
      </c>
      <c r="J161" s="0" t="n">
        <v>24</v>
      </c>
      <c r="K161" s="0" t="n">
        <v>122</v>
      </c>
      <c r="L161" s="0" t="n">
        <v>24</v>
      </c>
      <c r="M161" s="0" t="n">
        <v>24</v>
      </c>
      <c r="N161" s="0" t="n">
        <v>3</v>
      </c>
      <c r="O161" s="0" t="n">
        <v>35</v>
      </c>
      <c r="P161" s="0" t="n">
        <v>35</v>
      </c>
      <c r="Q161" s="114" t="n">
        <v>100</v>
      </c>
      <c r="R161" s="144" t="n">
        <v>116</v>
      </c>
      <c r="S161" s="114" t="n">
        <v>1</v>
      </c>
      <c r="T161" s="114" t="n">
        <v>1</v>
      </c>
      <c r="U161" s="114" t="n">
        <v>1</v>
      </c>
      <c r="V161" s="114" t="n">
        <v>1</v>
      </c>
      <c r="W161" s="114" t="s">
        <v>58</v>
      </c>
      <c r="X161" s="114" t="s">
        <v>58</v>
      </c>
      <c r="Y161" s="114" t="s">
        <v>58</v>
      </c>
      <c r="Z161" s="114" t="s">
        <v>58</v>
      </c>
      <c r="AA161" s="0" t="s">
        <v>1024</v>
      </c>
      <c r="AB161" s="0" t="s">
        <v>58</v>
      </c>
      <c r="AC161" s="0" t="s">
        <v>58</v>
      </c>
      <c r="AD161" s="0" t="s">
        <v>58</v>
      </c>
      <c r="AE161" s="0" t="s">
        <v>1025</v>
      </c>
      <c r="AF161" s="0" t="s">
        <v>58</v>
      </c>
      <c r="AG161" s="0" t="s">
        <v>58</v>
      </c>
      <c r="AH161" s="0" t="s">
        <v>58</v>
      </c>
    </row>
    <row r="162" customFormat="false" ht="14.4" hidden="false" customHeight="false" outlineLevel="0" collapsed="false">
      <c r="A162" s="0" t="n">
        <v>316</v>
      </c>
      <c r="B162" s="0" t="s">
        <v>1026</v>
      </c>
      <c r="C162" s="0" t="s">
        <v>429</v>
      </c>
      <c r="D162" s="0" t="s">
        <v>472</v>
      </c>
      <c r="E162" s="0" t="s">
        <v>459</v>
      </c>
      <c r="F162" s="0" t="n">
        <v>2083</v>
      </c>
      <c r="G162" s="0" t="s">
        <v>138</v>
      </c>
      <c r="H162" s="0" t="n">
        <v>201</v>
      </c>
      <c r="I162" s="0" t="n">
        <v>63</v>
      </c>
      <c r="J162" s="0" t="n">
        <v>502</v>
      </c>
      <c r="K162" s="0" t="n">
        <v>191</v>
      </c>
      <c r="L162" s="0" t="n">
        <v>149</v>
      </c>
      <c r="M162" s="0" t="n">
        <v>0</v>
      </c>
      <c r="N162" s="0" t="n">
        <v>8</v>
      </c>
      <c r="O162" s="0" t="n">
        <v>165</v>
      </c>
      <c r="P162" s="0" t="n">
        <v>42</v>
      </c>
      <c r="Q162" s="114" t="n">
        <v>27</v>
      </c>
      <c r="R162" s="144" t="n">
        <v>183</v>
      </c>
      <c r="S162" s="114" t="n">
        <v>0.75</v>
      </c>
      <c r="T162" s="114" t="n">
        <v>1.5</v>
      </c>
      <c r="U162" s="114" t="n">
        <v>0.75</v>
      </c>
      <c r="V162" s="114" t="n">
        <v>0</v>
      </c>
      <c r="W162" s="152" t="s">
        <v>691</v>
      </c>
      <c r="X162" s="114" t="s">
        <v>58</v>
      </c>
      <c r="Y162" s="114" t="s">
        <v>58</v>
      </c>
      <c r="Z162" s="114" t="s">
        <v>58</v>
      </c>
      <c r="AA162" s="0" t="s">
        <v>692</v>
      </c>
      <c r="AB162" s="0" t="s">
        <v>693</v>
      </c>
      <c r="AC162" s="0" t="s">
        <v>58</v>
      </c>
      <c r="AD162" s="0" t="s">
        <v>58</v>
      </c>
      <c r="AE162" s="0" t="s">
        <v>694</v>
      </c>
      <c r="AF162" s="0" t="s">
        <v>464</v>
      </c>
      <c r="AG162" s="0" t="s">
        <v>58</v>
      </c>
      <c r="AH162" s="0" t="s">
        <v>58</v>
      </c>
    </row>
    <row r="163" customFormat="false" ht="14.4" hidden="false" customHeight="false" outlineLevel="0" collapsed="false">
      <c r="A163" s="0" t="n">
        <v>429</v>
      </c>
      <c r="B163" s="0" t="s">
        <v>1027</v>
      </c>
      <c r="C163" s="0" t="s">
        <v>429</v>
      </c>
      <c r="D163" s="0" t="s">
        <v>472</v>
      </c>
      <c r="E163" s="0" t="s">
        <v>74</v>
      </c>
      <c r="F163" s="0" t="n">
        <v>1798</v>
      </c>
      <c r="G163" s="0" t="s">
        <v>138</v>
      </c>
      <c r="H163" s="0" t="n">
        <v>207</v>
      </c>
      <c r="I163" s="0" t="n">
        <v>65</v>
      </c>
      <c r="J163" s="0" t="n">
        <v>503</v>
      </c>
      <c r="K163" s="0" t="n">
        <v>194</v>
      </c>
      <c r="L163" s="0" t="n">
        <v>146</v>
      </c>
      <c r="M163" s="0" t="n">
        <v>0</v>
      </c>
      <c r="N163" s="0" t="n">
        <v>8</v>
      </c>
      <c r="O163" s="0" t="n">
        <v>195</v>
      </c>
      <c r="P163" s="0" t="n">
        <v>45</v>
      </c>
      <c r="Q163" s="0" t="n">
        <v>75</v>
      </c>
      <c r="R163" s="116" t="n">
        <v>189</v>
      </c>
      <c r="S163" s="114" t="n">
        <v>0.75</v>
      </c>
      <c r="T163" s="114" t="n">
        <v>1.6</v>
      </c>
      <c r="U163" s="114" t="n">
        <v>0.75</v>
      </c>
      <c r="V163" s="114" t="n">
        <v>0</v>
      </c>
      <c r="W163" s="114" t="s">
        <v>660</v>
      </c>
      <c r="X163" s="114" t="s">
        <v>58</v>
      </c>
      <c r="Y163" s="114" t="s">
        <v>58</v>
      </c>
      <c r="Z163" s="114" t="s">
        <v>58</v>
      </c>
      <c r="AA163" s="114" t="s">
        <v>1028</v>
      </c>
      <c r="AB163" s="114" t="s">
        <v>692</v>
      </c>
      <c r="AC163" s="114" t="s">
        <v>1029</v>
      </c>
      <c r="AD163" s="0" t="s">
        <v>58</v>
      </c>
      <c r="AE163" s="114" t="s">
        <v>525</v>
      </c>
      <c r="AF163" s="0" t="s">
        <v>694</v>
      </c>
      <c r="AG163" s="0" t="s">
        <v>464</v>
      </c>
      <c r="AH163" s="0" t="s">
        <v>58</v>
      </c>
    </row>
    <row r="164" customFormat="false" ht="14.4" hidden="false" customHeight="false" outlineLevel="0" collapsed="false">
      <c r="A164" s="0" t="n">
        <v>274</v>
      </c>
      <c r="B164" s="0" t="s">
        <v>1030</v>
      </c>
      <c r="C164" s="0" t="s">
        <v>429</v>
      </c>
      <c r="D164" s="0" t="s">
        <v>527</v>
      </c>
      <c r="E164" s="0" t="s">
        <v>459</v>
      </c>
      <c r="F164" s="0" t="n">
        <v>1487</v>
      </c>
      <c r="G164" s="0" t="s">
        <v>138</v>
      </c>
      <c r="H164" s="0" t="n">
        <v>196</v>
      </c>
      <c r="I164" s="0" t="n">
        <v>59</v>
      </c>
      <c r="J164" s="0" t="n">
        <v>427</v>
      </c>
      <c r="K164" s="0" t="n">
        <v>193</v>
      </c>
      <c r="L164" s="0" t="n">
        <v>138</v>
      </c>
      <c r="M164" s="0" t="n">
        <v>0</v>
      </c>
      <c r="N164" s="0" t="n">
        <v>7</v>
      </c>
      <c r="O164" s="0" t="n">
        <v>181</v>
      </c>
      <c r="P164" s="0" t="n">
        <v>44</v>
      </c>
      <c r="Q164" s="114" t="n">
        <v>37</v>
      </c>
      <c r="R164" s="144" t="n">
        <v>178</v>
      </c>
      <c r="S164" s="114" t="n">
        <v>0.75</v>
      </c>
      <c r="T164" s="114" t="n">
        <v>1.45</v>
      </c>
      <c r="U164" s="114" t="n">
        <v>0.75</v>
      </c>
      <c r="V164" s="114" t="n">
        <v>0</v>
      </c>
      <c r="W164" s="114" t="s">
        <v>665</v>
      </c>
      <c r="X164" s="114" t="s">
        <v>58</v>
      </c>
      <c r="Y164" s="114" t="s">
        <v>58</v>
      </c>
      <c r="Z164" s="114" t="s">
        <v>58</v>
      </c>
      <c r="AA164" s="0" t="s">
        <v>529</v>
      </c>
      <c r="AB164" s="0" t="s">
        <v>666</v>
      </c>
      <c r="AC164" s="0" t="s">
        <v>58</v>
      </c>
      <c r="AD164" s="0" t="s">
        <v>58</v>
      </c>
      <c r="AE164" s="0" t="s">
        <v>531</v>
      </c>
      <c r="AF164" s="0" t="s">
        <v>464</v>
      </c>
      <c r="AG164" s="0" t="s">
        <v>58</v>
      </c>
      <c r="AH164" s="0" t="s">
        <v>58</v>
      </c>
    </row>
    <row r="165" customFormat="false" ht="14.4" hidden="false" customHeight="false" outlineLevel="0" collapsed="false">
      <c r="A165" s="0" t="n">
        <v>103</v>
      </c>
      <c r="B165" s="0" t="s">
        <v>1031</v>
      </c>
      <c r="C165" s="0" t="s">
        <v>471</v>
      </c>
      <c r="D165" s="0" t="s">
        <v>438</v>
      </c>
      <c r="E165" s="0" t="s">
        <v>459</v>
      </c>
      <c r="F165" s="0" t="n">
        <v>1314</v>
      </c>
      <c r="G165" s="0" t="s">
        <v>138</v>
      </c>
      <c r="H165" s="0" t="n">
        <v>196</v>
      </c>
      <c r="I165" s="0" t="n">
        <v>71</v>
      </c>
      <c r="J165" s="0" t="n">
        <v>376</v>
      </c>
      <c r="K165" s="0" t="n">
        <v>195</v>
      </c>
      <c r="L165" s="0" t="n">
        <v>156</v>
      </c>
      <c r="M165" s="0" t="n">
        <v>0</v>
      </c>
      <c r="N165" s="0" t="n">
        <v>9</v>
      </c>
      <c r="O165" s="0" t="n">
        <v>207</v>
      </c>
      <c r="P165" s="0" t="n">
        <v>40</v>
      </c>
      <c r="Q165" s="114" t="n">
        <v>42</v>
      </c>
      <c r="R165" s="144" t="n">
        <v>167</v>
      </c>
      <c r="S165" s="114" t="n">
        <v>1.15</v>
      </c>
      <c r="T165" s="114" t="n">
        <v>1.45</v>
      </c>
      <c r="U165" s="114" t="n">
        <v>1.05</v>
      </c>
      <c r="V165" s="114" t="n">
        <v>0</v>
      </c>
      <c r="W165" s="0" t="s">
        <v>1032</v>
      </c>
      <c r="X165" s="0" t="s">
        <v>1033</v>
      </c>
      <c r="Y165" s="114" t="s">
        <v>58</v>
      </c>
      <c r="Z165" s="114" t="s">
        <v>58</v>
      </c>
      <c r="AA165" s="0" t="s">
        <v>1034</v>
      </c>
      <c r="AB165" s="0" t="s">
        <v>1035</v>
      </c>
      <c r="AC165" s="0" t="s">
        <v>58</v>
      </c>
      <c r="AD165" s="0" t="s">
        <v>58</v>
      </c>
      <c r="AE165" s="0" t="s">
        <v>1033</v>
      </c>
      <c r="AF165" s="0" t="s">
        <v>464</v>
      </c>
      <c r="AG165" s="0" t="s">
        <v>58</v>
      </c>
      <c r="AH165" s="0" t="s">
        <v>58</v>
      </c>
    </row>
    <row r="166" customFormat="false" ht="14.4" hidden="false" customHeight="false" outlineLevel="0" collapsed="false">
      <c r="B166" s="0" t="s">
        <v>1036</v>
      </c>
      <c r="C166" s="0" t="s">
        <v>1037</v>
      </c>
      <c r="D166" s="0" t="s">
        <v>438</v>
      </c>
      <c r="E166" s="0" t="s">
        <v>74</v>
      </c>
      <c r="F166" s="0" t="n">
        <v>1868</v>
      </c>
      <c r="G166" s="0" t="s">
        <v>138</v>
      </c>
      <c r="H166" s="0" t="n">
        <v>206</v>
      </c>
      <c r="I166" s="0" t="n">
        <v>113</v>
      </c>
      <c r="J166" s="0" t="n">
        <v>279</v>
      </c>
      <c r="K166" s="0" t="n">
        <v>212</v>
      </c>
      <c r="L166" s="0" t="n">
        <v>143</v>
      </c>
      <c r="M166" s="0" t="n">
        <v>0</v>
      </c>
      <c r="N166" s="0" t="n">
        <v>9</v>
      </c>
      <c r="O166" s="0" t="n">
        <v>207</v>
      </c>
      <c r="P166" s="0" t="n">
        <v>43</v>
      </c>
      <c r="Q166" s="0" t="n">
        <v>48</v>
      </c>
      <c r="R166" s="116" t="n">
        <v>191</v>
      </c>
      <c r="S166" s="114" t="n">
        <v>1.4</v>
      </c>
      <c r="T166" s="114" t="n">
        <v>1.4</v>
      </c>
      <c r="U166" s="114" t="n">
        <v>0.75</v>
      </c>
      <c r="V166" s="114" t="n">
        <v>0</v>
      </c>
      <c r="W166" s="114" t="s">
        <v>1007</v>
      </c>
      <c r="X166" s="114" t="s">
        <v>58</v>
      </c>
      <c r="Y166" s="114" t="s">
        <v>58</v>
      </c>
      <c r="Z166" s="114" t="s">
        <v>58</v>
      </c>
      <c r="AA166" s="114"/>
      <c r="AB166" s="114"/>
      <c r="AC166" s="114"/>
      <c r="AD166" s="114"/>
      <c r="AE166" s="114"/>
      <c r="AF166" s="114"/>
      <c r="AG166" s="114"/>
      <c r="AH166" s="114"/>
    </row>
    <row r="167" customFormat="false" ht="14.4" hidden="false" customHeight="false" outlineLevel="0" collapsed="false">
      <c r="A167" s="0" t="n">
        <v>173</v>
      </c>
      <c r="B167" s="0" t="s">
        <v>1038</v>
      </c>
      <c r="C167" s="0" t="s">
        <v>429</v>
      </c>
      <c r="D167" s="0" t="s">
        <v>472</v>
      </c>
      <c r="E167" s="0" t="s">
        <v>459</v>
      </c>
      <c r="F167" s="0" t="n">
        <v>1770</v>
      </c>
      <c r="G167" s="0" t="s">
        <v>138</v>
      </c>
      <c r="H167" s="0" t="n">
        <v>196</v>
      </c>
      <c r="I167" s="0" t="n">
        <v>59</v>
      </c>
      <c r="J167" s="0" t="n">
        <v>478</v>
      </c>
      <c r="K167" s="0" t="n">
        <v>192</v>
      </c>
      <c r="L167" s="0" t="n">
        <v>145</v>
      </c>
      <c r="M167" s="0" t="n">
        <v>0</v>
      </c>
      <c r="N167" s="0" t="n">
        <v>8</v>
      </c>
      <c r="O167" s="0" t="n">
        <v>189</v>
      </c>
      <c r="P167" s="0" t="n">
        <v>43</v>
      </c>
      <c r="Q167" s="114" t="n">
        <v>36</v>
      </c>
      <c r="R167" s="144" t="n">
        <v>180</v>
      </c>
      <c r="S167" s="114" t="n">
        <v>0.75</v>
      </c>
      <c r="T167" s="114" t="n">
        <v>1.5</v>
      </c>
      <c r="U167" s="114" t="n">
        <v>0.75</v>
      </c>
      <c r="V167" s="114" t="n">
        <v>0</v>
      </c>
      <c r="W167" s="152" t="s">
        <v>517</v>
      </c>
      <c r="X167" s="114" t="s">
        <v>58</v>
      </c>
      <c r="Y167" s="114" t="s">
        <v>58</v>
      </c>
      <c r="Z167" s="114" t="s">
        <v>58</v>
      </c>
      <c r="AA167" s="0" t="s">
        <v>518</v>
      </c>
      <c r="AB167" s="0" t="s">
        <v>519</v>
      </c>
      <c r="AC167" s="0" t="s">
        <v>58</v>
      </c>
      <c r="AD167" s="0" t="s">
        <v>58</v>
      </c>
      <c r="AE167" s="0" t="s">
        <v>520</v>
      </c>
      <c r="AF167" s="0" t="s">
        <v>464</v>
      </c>
      <c r="AG167" s="0" t="s">
        <v>58</v>
      </c>
      <c r="AH167" s="0" t="s">
        <v>58</v>
      </c>
    </row>
    <row r="168" customFormat="false" ht="14.4" hidden="false" customHeight="false" outlineLevel="0" collapsed="false">
      <c r="A168" s="0" t="s">
        <v>1039</v>
      </c>
      <c r="B168" s="0" t="s">
        <v>1040</v>
      </c>
      <c r="C168" s="0" t="s">
        <v>562</v>
      </c>
      <c r="D168" s="0" t="s">
        <v>430</v>
      </c>
      <c r="E168" s="0" t="s">
        <v>459</v>
      </c>
      <c r="F168" s="0" t="n">
        <v>1947</v>
      </c>
      <c r="G168" s="0" t="s">
        <v>138</v>
      </c>
      <c r="H168" s="0" t="n">
        <v>215</v>
      </c>
      <c r="I168" s="0" t="n">
        <v>74</v>
      </c>
      <c r="J168" s="0" t="n">
        <v>476</v>
      </c>
      <c r="K168" s="0" t="n">
        <v>178</v>
      </c>
      <c r="L168" s="0" t="n">
        <v>154</v>
      </c>
      <c r="M168" s="0" t="n">
        <v>0</v>
      </c>
      <c r="N168" s="0" t="n">
        <v>10</v>
      </c>
      <c r="O168" s="0" t="n">
        <v>206</v>
      </c>
      <c r="P168" s="0" t="n">
        <v>45</v>
      </c>
      <c r="Q168" s="114" t="n">
        <v>73</v>
      </c>
      <c r="R168" s="144" t="n">
        <v>189</v>
      </c>
      <c r="S168" s="114" t="n">
        <v>0.8</v>
      </c>
      <c r="T168" s="114" t="n">
        <v>1.5</v>
      </c>
      <c r="U168" s="114" t="n">
        <v>0.75</v>
      </c>
      <c r="V168" s="114" t="n">
        <v>0</v>
      </c>
      <c r="W168" s="114" t="s">
        <v>58</v>
      </c>
      <c r="X168" s="0" t="s">
        <v>1041</v>
      </c>
      <c r="Y168" s="0" t="s">
        <v>1042</v>
      </c>
      <c r="Z168" s="114" t="s">
        <v>58</v>
      </c>
      <c r="AA168" s="0" t="s">
        <v>1043</v>
      </c>
      <c r="AB168" s="0" t="s">
        <v>1044</v>
      </c>
      <c r="AC168" s="0" t="s">
        <v>58</v>
      </c>
      <c r="AD168" s="0" t="s">
        <v>58</v>
      </c>
      <c r="AE168" s="0" t="s">
        <v>1045</v>
      </c>
      <c r="AF168" s="0" t="s">
        <v>1046</v>
      </c>
      <c r="AG168" s="0" t="s">
        <v>58</v>
      </c>
      <c r="AH168" s="0" t="s">
        <v>58</v>
      </c>
    </row>
    <row r="169" customFormat="false" ht="14.4" hidden="false" customHeight="false" outlineLevel="0" collapsed="false">
      <c r="A169" s="0" t="n">
        <v>297</v>
      </c>
      <c r="B169" s="0" t="s">
        <v>1047</v>
      </c>
      <c r="C169" s="0" t="s">
        <v>429</v>
      </c>
      <c r="D169" s="0" t="s">
        <v>438</v>
      </c>
      <c r="E169" s="0" t="s">
        <v>459</v>
      </c>
      <c r="F169" s="0" t="n">
        <v>2445</v>
      </c>
      <c r="G169" s="0" t="s">
        <v>138</v>
      </c>
      <c r="H169" s="0" t="n">
        <v>210</v>
      </c>
      <c r="I169" s="0" t="n">
        <v>74</v>
      </c>
      <c r="J169" s="0" t="n">
        <v>363</v>
      </c>
      <c r="K169" s="0" t="n">
        <v>179</v>
      </c>
      <c r="L169" s="0" t="n">
        <v>199</v>
      </c>
      <c r="M169" s="0" t="n">
        <v>0</v>
      </c>
      <c r="N169" s="0" t="n">
        <v>9</v>
      </c>
      <c r="O169" s="0" t="n">
        <v>200</v>
      </c>
      <c r="P169" s="0" t="n">
        <v>39</v>
      </c>
      <c r="Q169" s="114" t="n">
        <v>61</v>
      </c>
      <c r="R169" s="144" t="n">
        <v>188</v>
      </c>
      <c r="S169" s="114" t="n">
        <v>1</v>
      </c>
      <c r="T169" s="114" t="n">
        <v>1.35</v>
      </c>
      <c r="U169" s="114" t="n">
        <v>1.35</v>
      </c>
      <c r="V169" s="114" t="n">
        <v>0</v>
      </c>
      <c r="W169" s="0" t="s">
        <v>705</v>
      </c>
      <c r="X169" s="114" t="s">
        <v>58</v>
      </c>
      <c r="Y169" s="114" t="s">
        <v>58</v>
      </c>
      <c r="Z169" s="114" t="s">
        <v>58</v>
      </c>
      <c r="AA169" s="0" t="s">
        <v>719</v>
      </c>
      <c r="AB169" s="0" t="s">
        <v>707</v>
      </c>
      <c r="AC169" s="0" t="s">
        <v>58</v>
      </c>
      <c r="AD169" s="0" t="s">
        <v>58</v>
      </c>
      <c r="AE169" s="0" t="s">
        <v>708</v>
      </c>
      <c r="AF169" s="0" t="s">
        <v>464</v>
      </c>
      <c r="AG169" s="0" t="s">
        <v>58</v>
      </c>
      <c r="AH169" s="0" t="s">
        <v>58</v>
      </c>
    </row>
    <row r="170" customFormat="false" ht="14.4" hidden="false" customHeight="false" outlineLevel="0" collapsed="false">
      <c r="A170" s="0" t="n">
        <v>166</v>
      </c>
      <c r="B170" s="0" t="s">
        <v>1048</v>
      </c>
      <c r="C170" s="0" t="s">
        <v>429</v>
      </c>
      <c r="D170" s="0" t="s">
        <v>430</v>
      </c>
      <c r="E170" s="0" t="s">
        <v>459</v>
      </c>
      <c r="F170" s="0" t="n">
        <v>2226</v>
      </c>
      <c r="G170" s="0" t="s">
        <v>138</v>
      </c>
      <c r="H170" s="0" t="n">
        <v>223</v>
      </c>
      <c r="I170" s="0" t="n">
        <v>68</v>
      </c>
      <c r="J170" s="0" t="n">
        <v>526</v>
      </c>
      <c r="K170" s="0" t="n">
        <v>192</v>
      </c>
      <c r="L170" s="0" t="n">
        <v>161</v>
      </c>
      <c r="M170" s="0" t="n">
        <v>0</v>
      </c>
      <c r="N170" s="0" t="n">
        <v>10</v>
      </c>
      <c r="O170" s="0" t="n">
        <v>210</v>
      </c>
      <c r="P170" s="0" t="n">
        <v>42</v>
      </c>
      <c r="Q170" s="114" t="n">
        <v>98</v>
      </c>
      <c r="R170" s="144" t="n">
        <v>195</v>
      </c>
      <c r="S170" s="114" t="n">
        <v>0.75</v>
      </c>
      <c r="T170" s="114" t="n">
        <v>1.5</v>
      </c>
      <c r="U170" s="114" t="n">
        <v>0.75</v>
      </c>
      <c r="V170" s="114" t="n">
        <v>0</v>
      </c>
      <c r="W170" s="0" t="s">
        <v>1049</v>
      </c>
      <c r="X170" s="0" t="s">
        <v>1050</v>
      </c>
      <c r="Y170" s="114" t="s">
        <v>58</v>
      </c>
      <c r="Z170" s="114" t="s">
        <v>58</v>
      </c>
      <c r="AA170" s="0" t="s">
        <v>1051</v>
      </c>
      <c r="AB170" s="0" t="s">
        <v>1052</v>
      </c>
      <c r="AC170" s="0" t="s">
        <v>1053</v>
      </c>
      <c r="AD170" s="0" t="s">
        <v>58</v>
      </c>
      <c r="AE170" s="0" t="s">
        <v>1054</v>
      </c>
      <c r="AF170" s="0" t="s">
        <v>1055</v>
      </c>
      <c r="AG170" s="0" t="s">
        <v>464</v>
      </c>
      <c r="AH170" s="0" t="s">
        <v>58</v>
      </c>
    </row>
    <row r="171" customFormat="false" ht="14.4" hidden="false" customHeight="false" outlineLevel="0" collapsed="false">
      <c r="A171" s="0" t="n">
        <v>164</v>
      </c>
      <c r="B171" s="0" t="s">
        <v>1056</v>
      </c>
      <c r="C171" s="0" t="s">
        <v>429</v>
      </c>
      <c r="D171" s="0" t="s">
        <v>430</v>
      </c>
      <c r="E171" s="0" t="s">
        <v>459</v>
      </c>
      <c r="F171" s="0" t="n">
        <v>1828</v>
      </c>
      <c r="G171" s="0" t="s">
        <v>138</v>
      </c>
      <c r="H171" s="0" t="n">
        <v>226</v>
      </c>
      <c r="I171" s="0" t="n">
        <v>70</v>
      </c>
      <c r="J171" s="0" t="n">
        <v>545</v>
      </c>
      <c r="K171" s="0" t="n">
        <v>190</v>
      </c>
      <c r="L171" s="0" t="n">
        <v>157</v>
      </c>
      <c r="M171" s="0" t="n">
        <v>0</v>
      </c>
      <c r="N171" s="0" t="n">
        <v>10</v>
      </c>
      <c r="O171" s="0" t="n">
        <v>200</v>
      </c>
      <c r="P171" s="0" t="n">
        <v>40</v>
      </c>
      <c r="Q171" s="114" t="n">
        <v>32</v>
      </c>
      <c r="R171" s="144" t="n">
        <v>191</v>
      </c>
      <c r="S171" s="114" t="n">
        <v>0.85</v>
      </c>
      <c r="T171" s="114" t="n">
        <v>1.5</v>
      </c>
      <c r="U171" s="114" t="n">
        <v>0.85</v>
      </c>
      <c r="V171" s="114" t="n">
        <v>0</v>
      </c>
      <c r="W171" s="0" t="s">
        <v>1057</v>
      </c>
      <c r="X171" s="0" t="s">
        <v>1058</v>
      </c>
      <c r="Y171" s="114" t="s">
        <v>58</v>
      </c>
      <c r="Z171" s="114" t="s">
        <v>58</v>
      </c>
      <c r="AA171" s="0" t="s">
        <v>1059</v>
      </c>
      <c r="AB171" s="0" t="s">
        <v>1060</v>
      </c>
      <c r="AC171" s="0" t="s">
        <v>58</v>
      </c>
      <c r="AD171" s="0" t="s">
        <v>58</v>
      </c>
      <c r="AE171" s="0" t="s">
        <v>1061</v>
      </c>
      <c r="AF171" s="0" t="s">
        <v>464</v>
      </c>
      <c r="AG171" s="0" t="s">
        <v>58</v>
      </c>
      <c r="AH171" s="0" t="s">
        <v>58</v>
      </c>
    </row>
    <row r="172" customFormat="false" ht="14.4" hidden="false" customHeight="false" outlineLevel="0" collapsed="false">
      <c r="A172" s="0" t="n">
        <v>176</v>
      </c>
      <c r="B172" s="0" t="s">
        <v>1062</v>
      </c>
      <c r="C172" s="0" t="s">
        <v>429</v>
      </c>
      <c r="D172" s="0" t="s">
        <v>472</v>
      </c>
      <c r="E172" s="0" t="s">
        <v>459</v>
      </c>
      <c r="F172" s="0" t="n">
        <v>1619</v>
      </c>
      <c r="G172" s="0" t="s">
        <v>138</v>
      </c>
      <c r="H172" s="0" t="n">
        <v>196</v>
      </c>
      <c r="I172" s="0" t="n">
        <v>59</v>
      </c>
      <c r="J172" s="0" t="n">
        <v>478</v>
      </c>
      <c r="K172" s="0" t="n">
        <v>193</v>
      </c>
      <c r="L172" s="0" t="n">
        <v>145</v>
      </c>
      <c r="M172" s="0" t="n">
        <v>0</v>
      </c>
      <c r="N172" s="0" t="n">
        <v>8</v>
      </c>
      <c r="O172" s="0" t="n">
        <v>189</v>
      </c>
      <c r="P172" s="0" t="n">
        <v>44</v>
      </c>
      <c r="Q172" s="114" t="n">
        <v>32</v>
      </c>
      <c r="R172" s="144" t="n">
        <v>180</v>
      </c>
      <c r="S172" s="114" t="n">
        <v>0.75</v>
      </c>
      <c r="T172" s="114" t="n">
        <v>1.5</v>
      </c>
      <c r="U172" s="114" t="n">
        <v>0.75</v>
      </c>
      <c r="V172" s="114" t="n">
        <v>0</v>
      </c>
      <c r="W172" s="152" t="s">
        <v>517</v>
      </c>
      <c r="X172" s="114" t="s">
        <v>58</v>
      </c>
      <c r="Y172" s="114" t="s">
        <v>58</v>
      </c>
      <c r="Z172" s="114" t="s">
        <v>58</v>
      </c>
      <c r="AA172" s="0" t="s">
        <v>488</v>
      </c>
      <c r="AB172" s="0" t="s">
        <v>519</v>
      </c>
      <c r="AC172" s="0" t="s">
        <v>58</v>
      </c>
      <c r="AD172" s="0" t="s">
        <v>58</v>
      </c>
      <c r="AE172" s="0" t="s">
        <v>490</v>
      </c>
      <c r="AF172" s="0" t="s">
        <v>464</v>
      </c>
      <c r="AG172" s="0" t="s">
        <v>58</v>
      </c>
      <c r="AH172" s="0" t="s">
        <v>58</v>
      </c>
    </row>
    <row r="173" customFormat="false" ht="14.4" hidden="false" customHeight="false" outlineLevel="0" collapsed="false">
      <c r="A173" s="0" t="n">
        <v>3176</v>
      </c>
      <c r="B173" s="0" t="s">
        <v>1063</v>
      </c>
      <c r="C173" s="0" t="s">
        <v>429</v>
      </c>
      <c r="D173" s="0" t="s">
        <v>438</v>
      </c>
      <c r="E173" s="0" t="s">
        <v>74</v>
      </c>
      <c r="F173" s="0" t="n">
        <v>1784</v>
      </c>
      <c r="G173" s="0" t="s">
        <v>138</v>
      </c>
      <c r="H173" s="0" t="n">
        <v>196</v>
      </c>
      <c r="I173" s="0" t="n">
        <v>59</v>
      </c>
      <c r="J173" s="0" t="n">
        <v>518</v>
      </c>
      <c r="K173" s="0" t="n">
        <v>213</v>
      </c>
      <c r="L173" s="0" t="n">
        <v>175</v>
      </c>
      <c r="M173" s="0" t="n">
        <v>0</v>
      </c>
      <c r="N173" s="0" t="n">
        <v>8</v>
      </c>
      <c r="O173" s="0" t="n">
        <v>189</v>
      </c>
      <c r="P173" s="0" t="n">
        <v>47</v>
      </c>
      <c r="Q173" s="0" t="n">
        <v>32</v>
      </c>
      <c r="R173" s="116" t="n">
        <v>180</v>
      </c>
      <c r="S173" s="114" t="n">
        <v>0.75</v>
      </c>
      <c r="T173" s="114" t="n">
        <v>1.55</v>
      </c>
      <c r="U173" s="114" t="n">
        <v>0.8</v>
      </c>
      <c r="V173" s="114" t="n">
        <v>0</v>
      </c>
      <c r="W173" s="114" t="s">
        <v>517</v>
      </c>
      <c r="X173" s="114" t="s">
        <v>58</v>
      </c>
      <c r="Y173" s="114" t="s">
        <v>58</v>
      </c>
      <c r="Z173" s="114" t="s">
        <v>58</v>
      </c>
      <c r="AA173" s="114" t="s">
        <v>488</v>
      </c>
      <c r="AB173" s="114" t="s">
        <v>514</v>
      </c>
      <c r="AC173" s="114" t="s">
        <v>519</v>
      </c>
      <c r="AD173" s="114" t="s">
        <v>58</v>
      </c>
      <c r="AE173" s="114" t="s">
        <v>490</v>
      </c>
      <c r="AF173" s="114" t="s">
        <v>515</v>
      </c>
      <c r="AG173" s="114" t="s">
        <v>464</v>
      </c>
      <c r="AH173" s="114" t="s">
        <v>58</v>
      </c>
    </row>
    <row r="174" customFormat="false" ht="14.4" hidden="false" customHeight="false" outlineLevel="0" collapsed="false">
      <c r="A174" s="0" t="n">
        <v>233</v>
      </c>
      <c r="B174" s="0" t="s">
        <v>1064</v>
      </c>
      <c r="C174" s="0" t="s">
        <v>1065</v>
      </c>
      <c r="D174" s="0" t="s">
        <v>438</v>
      </c>
      <c r="E174" s="0" t="s">
        <v>459</v>
      </c>
      <c r="F174" s="0" t="n">
        <v>2053</v>
      </c>
      <c r="G174" s="0" t="s">
        <v>138</v>
      </c>
      <c r="H174" s="0" t="n">
        <v>207</v>
      </c>
      <c r="I174" s="0" t="n">
        <v>65</v>
      </c>
      <c r="J174" s="0" t="n">
        <v>450</v>
      </c>
      <c r="K174" s="0" t="n">
        <v>148</v>
      </c>
      <c r="L174" s="0" t="n">
        <v>154</v>
      </c>
      <c r="M174" s="0" t="n">
        <v>0</v>
      </c>
      <c r="N174" s="0" t="n">
        <v>9</v>
      </c>
      <c r="O174" s="0" t="n">
        <v>197</v>
      </c>
      <c r="P174" s="0" t="n">
        <v>41</v>
      </c>
      <c r="Q174" s="114" t="n">
        <v>40</v>
      </c>
      <c r="R174" s="144" t="n">
        <v>173</v>
      </c>
      <c r="S174" s="114" t="n">
        <v>1.25</v>
      </c>
      <c r="T174" s="114" t="n">
        <v>1.4</v>
      </c>
      <c r="U174" s="114" t="n">
        <v>0.75</v>
      </c>
      <c r="V174" s="114" t="n">
        <v>0</v>
      </c>
      <c r="W174" s="0" t="s">
        <v>1066</v>
      </c>
      <c r="X174" s="114" t="s">
        <v>58</v>
      </c>
      <c r="Y174" s="114" t="s">
        <v>58</v>
      </c>
      <c r="Z174" s="114" t="s">
        <v>58</v>
      </c>
      <c r="AA174" s="0" t="s">
        <v>1067</v>
      </c>
      <c r="AB174" s="0" t="s">
        <v>1068</v>
      </c>
      <c r="AC174" s="0" t="s">
        <v>58</v>
      </c>
      <c r="AD174" s="0" t="s">
        <v>58</v>
      </c>
      <c r="AE174" s="0" t="s">
        <v>1069</v>
      </c>
      <c r="AF174" s="0" t="s">
        <v>464</v>
      </c>
      <c r="AG174" s="0" t="s">
        <v>58</v>
      </c>
      <c r="AH174" s="0" t="s">
        <v>58</v>
      </c>
    </row>
    <row r="175" customFormat="false" ht="15" hidden="false" customHeight="true" outlineLevel="0" collapsed="false">
      <c r="A175" s="0" t="n">
        <v>1233</v>
      </c>
      <c r="B175" s="0" t="s">
        <v>1070</v>
      </c>
      <c r="C175" s="0" t="s">
        <v>1065</v>
      </c>
      <c r="D175" s="0" t="s">
        <v>430</v>
      </c>
      <c r="E175" s="0" t="s">
        <v>74</v>
      </c>
      <c r="F175" s="0" t="n">
        <v>2218</v>
      </c>
      <c r="G175" s="0" t="s">
        <v>138</v>
      </c>
      <c r="H175" s="0" t="n">
        <v>207</v>
      </c>
      <c r="I175" s="0" t="n">
        <v>85</v>
      </c>
      <c r="J175" s="0" t="n">
        <v>490</v>
      </c>
      <c r="K175" s="0" t="n">
        <v>153</v>
      </c>
      <c r="L175" s="0" t="n">
        <v>229</v>
      </c>
      <c r="M175" s="0" t="n">
        <v>0</v>
      </c>
      <c r="N175" s="0" t="n">
        <v>9</v>
      </c>
      <c r="O175" s="0" t="n">
        <v>197</v>
      </c>
      <c r="P175" s="0" t="n">
        <v>41</v>
      </c>
      <c r="Q175" s="0" t="n">
        <v>40</v>
      </c>
      <c r="R175" s="144" t="n">
        <v>173</v>
      </c>
      <c r="S175" s="114" t="n">
        <v>1.25</v>
      </c>
      <c r="T175" s="114" t="n">
        <v>1.55</v>
      </c>
      <c r="U175" s="114" t="n">
        <v>0.85</v>
      </c>
      <c r="V175" s="114" t="n">
        <v>0</v>
      </c>
      <c r="W175" s="0" t="s">
        <v>1066</v>
      </c>
      <c r="X175" s="0" t="s">
        <v>1071</v>
      </c>
      <c r="Y175" s="114" t="s">
        <v>58</v>
      </c>
      <c r="Z175" s="114" t="s">
        <v>58</v>
      </c>
      <c r="AA175" s="0" t="s">
        <v>1067</v>
      </c>
      <c r="AB175" s="0" t="s">
        <v>1072</v>
      </c>
      <c r="AC175" s="0" t="s">
        <v>1068</v>
      </c>
      <c r="AD175" s="0" t="s">
        <v>58</v>
      </c>
      <c r="AE175" s="0" t="s">
        <v>1069</v>
      </c>
      <c r="AF175" s="0" t="s">
        <v>1071</v>
      </c>
      <c r="AG175" s="0" t="s">
        <v>464</v>
      </c>
      <c r="AH175" s="0" t="s">
        <v>58</v>
      </c>
    </row>
    <row r="176" customFormat="false" ht="15" hidden="false" customHeight="true" outlineLevel="0" collapsed="false">
      <c r="A176" s="0" t="n">
        <v>346</v>
      </c>
      <c r="B176" s="0" t="s">
        <v>1073</v>
      </c>
      <c r="C176" s="0" t="s">
        <v>1065</v>
      </c>
      <c r="D176" s="0" t="s">
        <v>472</v>
      </c>
      <c r="E176" s="0" t="s">
        <v>459</v>
      </c>
      <c r="F176" s="0" t="n">
        <v>2033</v>
      </c>
      <c r="G176" s="0" t="s">
        <v>138</v>
      </c>
      <c r="H176" s="0" t="n">
        <v>201</v>
      </c>
      <c r="I176" s="0" t="n">
        <v>68</v>
      </c>
      <c r="J176" s="0" t="n">
        <v>440</v>
      </c>
      <c r="K176" s="0" t="n">
        <v>148</v>
      </c>
      <c r="L176" s="0" t="n">
        <v>149</v>
      </c>
      <c r="M176" s="0" t="n">
        <v>0</v>
      </c>
      <c r="N176" s="0" t="n">
        <v>8</v>
      </c>
      <c r="O176" s="0" t="n">
        <v>192</v>
      </c>
      <c r="P176" s="0" t="n">
        <v>43</v>
      </c>
      <c r="Q176" s="114" t="n">
        <v>38</v>
      </c>
      <c r="R176" s="144" t="n">
        <v>182</v>
      </c>
      <c r="S176" s="114" t="n">
        <v>1.15</v>
      </c>
      <c r="T176" s="114" t="n">
        <v>1.4</v>
      </c>
      <c r="U176" s="114" t="n">
        <v>0.75</v>
      </c>
      <c r="V176" s="114" t="n">
        <v>0</v>
      </c>
      <c r="W176" s="0" t="s">
        <v>1074</v>
      </c>
      <c r="X176" s="114" t="s">
        <v>58</v>
      </c>
      <c r="Y176" s="114" t="s">
        <v>58</v>
      </c>
      <c r="Z176" s="114" t="s">
        <v>58</v>
      </c>
      <c r="AA176" s="0" t="s">
        <v>1075</v>
      </c>
      <c r="AB176" s="0" t="s">
        <v>1076</v>
      </c>
      <c r="AC176" s="0" t="s">
        <v>58</v>
      </c>
      <c r="AD176" s="0" t="s">
        <v>58</v>
      </c>
      <c r="AE176" s="0" t="s">
        <v>1077</v>
      </c>
      <c r="AF176" s="0" t="s">
        <v>464</v>
      </c>
      <c r="AG176" s="0" t="s">
        <v>58</v>
      </c>
      <c r="AH176" s="0" t="s">
        <v>58</v>
      </c>
    </row>
    <row r="177" customFormat="false" ht="15" hidden="false" customHeight="true" outlineLevel="0" collapsed="false">
      <c r="A177" s="0" t="n">
        <v>264</v>
      </c>
      <c r="B177" s="0" t="s">
        <v>1078</v>
      </c>
      <c r="C177" s="0" t="s">
        <v>1065</v>
      </c>
      <c r="D177" s="0" t="s">
        <v>472</v>
      </c>
      <c r="E177" s="0" t="s">
        <v>459</v>
      </c>
      <c r="F177" s="0" t="n">
        <v>2033</v>
      </c>
      <c r="G177" s="0" t="s">
        <v>138</v>
      </c>
      <c r="H177" s="0" t="n">
        <v>201</v>
      </c>
      <c r="I177" s="0" t="n">
        <v>68</v>
      </c>
      <c r="J177" s="0" t="n">
        <v>440</v>
      </c>
      <c r="K177" s="0" t="n">
        <v>148</v>
      </c>
      <c r="L177" s="0" t="n">
        <v>149</v>
      </c>
      <c r="M177" s="0" t="n">
        <v>0</v>
      </c>
      <c r="N177" s="0" t="n">
        <v>8</v>
      </c>
      <c r="O177" s="0" t="n">
        <v>192</v>
      </c>
      <c r="P177" s="0" t="n">
        <v>43</v>
      </c>
      <c r="Q177" s="114" t="n">
        <v>39</v>
      </c>
      <c r="R177" s="144" t="n">
        <v>182</v>
      </c>
      <c r="S177" s="114" t="n">
        <v>1.15</v>
      </c>
      <c r="T177" s="114" t="n">
        <v>1.4</v>
      </c>
      <c r="U177" s="114" t="n">
        <v>0.75</v>
      </c>
      <c r="V177" s="114" t="n">
        <v>0</v>
      </c>
      <c r="W177" s="0" t="s">
        <v>1074</v>
      </c>
      <c r="X177" s="114" t="s">
        <v>58</v>
      </c>
      <c r="Y177" s="114" t="s">
        <v>58</v>
      </c>
      <c r="Z177" s="114" t="s">
        <v>58</v>
      </c>
      <c r="AA177" s="0" t="s">
        <v>1075</v>
      </c>
      <c r="AB177" s="0" t="s">
        <v>1076</v>
      </c>
      <c r="AC177" s="0" t="s">
        <v>58</v>
      </c>
      <c r="AD177" s="0" t="s">
        <v>58</v>
      </c>
      <c r="AE177" s="0" t="s">
        <v>1077</v>
      </c>
      <c r="AF177" s="0" t="s">
        <v>464</v>
      </c>
      <c r="AG177" s="0" t="s">
        <v>58</v>
      </c>
      <c r="AH177" s="0" t="s">
        <v>58</v>
      </c>
    </row>
    <row r="178" customFormat="false" ht="15" hidden="false" customHeight="true" outlineLevel="0" collapsed="false">
      <c r="A178" s="0" t="n">
        <v>379</v>
      </c>
      <c r="B178" s="0" t="s">
        <v>1079</v>
      </c>
      <c r="C178" s="0" t="s">
        <v>1065</v>
      </c>
      <c r="D178" s="0" t="s">
        <v>438</v>
      </c>
      <c r="E178" s="0" t="s">
        <v>74</v>
      </c>
      <c r="F178" s="0" t="n">
        <v>2053</v>
      </c>
      <c r="G178" s="0" t="s">
        <v>138</v>
      </c>
      <c r="H178" s="0" t="n">
        <v>206</v>
      </c>
      <c r="I178" s="0" t="n">
        <v>84</v>
      </c>
      <c r="J178" s="0" t="n">
        <v>433</v>
      </c>
      <c r="K178" s="0" t="n">
        <v>148</v>
      </c>
      <c r="L178" s="0" t="n">
        <v>154</v>
      </c>
      <c r="M178" s="0" t="n">
        <v>0</v>
      </c>
      <c r="N178" s="0" t="n">
        <v>8</v>
      </c>
      <c r="O178" s="0" t="n">
        <v>197</v>
      </c>
      <c r="P178" s="0" t="n">
        <v>43</v>
      </c>
      <c r="Q178" s="114" t="n">
        <v>44</v>
      </c>
      <c r="R178" s="144" t="n">
        <v>175</v>
      </c>
      <c r="S178" s="114" t="n">
        <v>1.25</v>
      </c>
      <c r="T178" s="114" t="n">
        <v>1.4</v>
      </c>
      <c r="U178" s="114" t="n">
        <v>0.75</v>
      </c>
      <c r="V178" s="114" t="n">
        <v>0</v>
      </c>
      <c r="W178" s="0" t="s">
        <v>1080</v>
      </c>
      <c r="X178" s="114" t="s">
        <v>58</v>
      </c>
      <c r="Y178" s="114" t="s">
        <v>58</v>
      </c>
      <c r="Z178" s="114" t="s">
        <v>58</v>
      </c>
      <c r="AA178" s="0" t="s">
        <v>1081</v>
      </c>
      <c r="AB178" s="0" t="s">
        <v>1082</v>
      </c>
      <c r="AC178" s="0" t="s">
        <v>1083</v>
      </c>
      <c r="AD178" s="0" t="s">
        <v>58</v>
      </c>
      <c r="AE178" s="0" t="s">
        <v>1077</v>
      </c>
      <c r="AF178" s="0" t="s">
        <v>1084</v>
      </c>
      <c r="AG178" s="0" t="s">
        <v>464</v>
      </c>
      <c r="AH178" s="0" t="s">
        <v>58</v>
      </c>
    </row>
    <row r="179" customFormat="false" ht="15" hidden="false" customHeight="true" outlineLevel="0" collapsed="false">
      <c r="A179" s="0" t="n">
        <v>265</v>
      </c>
      <c r="B179" s="0" t="s">
        <v>1085</v>
      </c>
      <c r="C179" s="0" t="s">
        <v>1065</v>
      </c>
      <c r="D179" s="0" t="s">
        <v>527</v>
      </c>
      <c r="E179" s="0" t="s">
        <v>459</v>
      </c>
      <c r="F179" s="0" t="n">
        <v>1993</v>
      </c>
      <c r="G179" s="0" t="s">
        <v>138</v>
      </c>
      <c r="H179" s="0" t="n">
        <v>196</v>
      </c>
      <c r="I179" s="0" t="n">
        <v>65</v>
      </c>
      <c r="J179" s="0" t="n">
        <v>433</v>
      </c>
      <c r="K179" s="0" t="n">
        <v>148</v>
      </c>
      <c r="L179" s="0" t="n">
        <v>145</v>
      </c>
      <c r="M179" s="0" t="n">
        <v>0</v>
      </c>
      <c r="N179" s="0" t="n">
        <v>7</v>
      </c>
      <c r="O179" s="0" t="n">
        <v>189</v>
      </c>
      <c r="P179" s="0" t="n">
        <v>43</v>
      </c>
      <c r="Q179" s="114" t="n">
        <v>71</v>
      </c>
      <c r="R179" s="144" t="n">
        <v>182</v>
      </c>
      <c r="S179" s="114" t="n">
        <v>1.15</v>
      </c>
      <c r="T179" s="114" t="n">
        <v>1.4</v>
      </c>
      <c r="U179" s="114" t="n">
        <v>0.75</v>
      </c>
      <c r="V179" s="114" t="n">
        <v>0</v>
      </c>
      <c r="W179" s="0" t="s">
        <v>1074</v>
      </c>
      <c r="X179" s="114" t="s">
        <v>58</v>
      </c>
      <c r="Y179" s="114" t="s">
        <v>58</v>
      </c>
      <c r="Z179" s="114" t="s">
        <v>58</v>
      </c>
      <c r="AA179" s="0" t="s">
        <v>1075</v>
      </c>
      <c r="AB179" s="0" t="s">
        <v>1076</v>
      </c>
      <c r="AC179" s="0" t="s">
        <v>58</v>
      </c>
      <c r="AD179" s="0" t="s">
        <v>58</v>
      </c>
      <c r="AE179" s="0" t="s">
        <v>1077</v>
      </c>
      <c r="AF179" s="0" t="s">
        <v>464</v>
      </c>
      <c r="AG179" s="0" t="s">
        <v>58</v>
      </c>
      <c r="AH179" s="0" t="s">
        <v>58</v>
      </c>
    </row>
    <row r="180" customFormat="false" ht="15" hidden="false" customHeight="true" outlineLevel="0" collapsed="false">
      <c r="A180" s="0" t="n">
        <v>266</v>
      </c>
      <c r="B180" s="0" t="s">
        <v>1086</v>
      </c>
      <c r="C180" s="0" t="s">
        <v>1065</v>
      </c>
      <c r="D180" s="0" t="s">
        <v>527</v>
      </c>
      <c r="E180" s="0" t="s">
        <v>459</v>
      </c>
      <c r="F180" s="0" t="n">
        <v>1993</v>
      </c>
      <c r="G180" s="0" t="s">
        <v>138</v>
      </c>
      <c r="H180" s="0" t="n">
        <v>196</v>
      </c>
      <c r="I180" s="0" t="n">
        <v>65</v>
      </c>
      <c r="J180" s="0" t="n">
        <v>433</v>
      </c>
      <c r="K180" s="0" t="n">
        <v>148</v>
      </c>
      <c r="L180" s="0" t="n">
        <v>145</v>
      </c>
      <c r="M180" s="0" t="n">
        <v>0</v>
      </c>
      <c r="N180" s="0" t="n">
        <v>7</v>
      </c>
      <c r="O180" s="0" t="n">
        <v>190</v>
      </c>
      <c r="P180" s="0" t="n">
        <v>43</v>
      </c>
      <c r="Q180" s="114" t="n">
        <v>42</v>
      </c>
      <c r="R180" s="144" t="n">
        <v>182</v>
      </c>
      <c r="S180" s="114" t="n">
        <v>1.15</v>
      </c>
      <c r="T180" s="114" t="n">
        <v>1.4</v>
      </c>
      <c r="U180" s="114" t="n">
        <v>0.75</v>
      </c>
      <c r="V180" s="114" t="n">
        <v>0</v>
      </c>
      <c r="W180" s="0" t="s">
        <v>1074</v>
      </c>
      <c r="X180" s="114" t="s">
        <v>58</v>
      </c>
      <c r="Y180" s="114" t="s">
        <v>58</v>
      </c>
      <c r="Z180" s="114" t="s">
        <v>58</v>
      </c>
      <c r="AA180" s="0" t="s">
        <v>1075</v>
      </c>
      <c r="AB180" s="0" t="s">
        <v>1076</v>
      </c>
      <c r="AC180" s="0" t="s">
        <v>58</v>
      </c>
      <c r="AD180" s="0" t="s">
        <v>58</v>
      </c>
      <c r="AE180" s="0" t="s">
        <v>1077</v>
      </c>
      <c r="AF180" s="0" t="s">
        <v>464</v>
      </c>
      <c r="AG180" s="0" t="s">
        <v>58</v>
      </c>
      <c r="AH180" s="0" t="s">
        <v>58</v>
      </c>
    </row>
    <row r="181" customFormat="false" ht="15" hidden="false" customHeight="true" outlineLevel="0" collapsed="false">
      <c r="A181" s="0" t="n">
        <v>236</v>
      </c>
      <c r="B181" s="0" t="s">
        <v>1087</v>
      </c>
      <c r="C181" s="0" t="s">
        <v>1065</v>
      </c>
      <c r="D181" s="0" t="s">
        <v>438</v>
      </c>
      <c r="E181" s="0" t="s">
        <v>459</v>
      </c>
      <c r="F181" s="0" t="n">
        <v>2125</v>
      </c>
      <c r="G181" s="0" t="s">
        <v>138</v>
      </c>
      <c r="H181" s="0" t="n">
        <v>199</v>
      </c>
      <c r="I181" s="0" t="n">
        <v>120</v>
      </c>
      <c r="J181" s="0" t="n">
        <v>327</v>
      </c>
      <c r="K181" s="0" t="n">
        <v>157</v>
      </c>
      <c r="L181" s="0" t="n">
        <v>150</v>
      </c>
      <c r="M181" s="0" t="n">
        <v>0</v>
      </c>
      <c r="N181" s="0" t="n">
        <v>9</v>
      </c>
      <c r="O181" s="0" t="n">
        <v>201</v>
      </c>
      <c r="P181" s="0" t="n">
        <v>42</v>
      </c>
      <c r="Q181" s="114" t="n">
        <v>65</v>
      </c>
      <c r="R181" s="144" t="n">
        <v>175</v>
      </c>
      <c r="S181" s="114" t="n">
        <v>1.6</v>
      </c>
      <c r="T181" s="114" t="n">
        <v>1.2</v>
      </c>
      <c r="U181" s="114" t="n">
        <v>0.75</v>
      </c>
      <c r="V181" s="114" t="n">
        <v>0</v>
      </c>
      <c r="W181" s="0" t="s">
        <v>1088</v>
      </c>
      <c r="X181" s="114" t="s">
        <v>58</v>
      </c>
      <c r="Y181" s="114" t="s">
        <v>58</v>
      </c>
      <c r="Z181" s="114" t="s">
        <v>58</v>
      </c>
      <c r="AA181" s="0" t="s">
        <v>1089</v>
      </c>
      <c r="AB181" s="0" t="s">
        <v>1090</v>
      </c>
      <c r="AC181" s="0" t="s">
        <v>58</v>
      </c>
      <c r="AD181" s="0" t="s">
        <v>58</v>
      </c>
      <c r="AE181" s="0" t="s">
        <v>1091</v>
      </c>
      <c r="AF181" s="0" t="s">
        <v>464</v>
      </c>
      <c r="AG181" s="0" t="s">
        <v>58</v>
      </c>
      <c r="AH181" s="0" t="s">
        <v>58</v>
      </c>
    </row>
    <row r="182" customFormat="false" ht="15" hidden="false" customHeight="true" outlineLevel="0" collapsed="false">
      <c r="A182" s="0" t="n">
        <v>3236</v>
      </c>
      <c r="B182" s="0" t="s">
        <v>1092</v>
      </c>
      <c r="C182" s="0" t="s">
        <v>1065</v>
      </c>
      <c r="D182" s="0" t="s">
        <v>430</v>
      </c>
      <c r="E182" s="0" t="s">
        <v>459</v>
      </c>
      <c r="F182" s="0" t="n">
        <v>2290</v>
      </c>
      <c r="G182" s="0" t="s">
        <v>138</v>
      </c>
      <c r="H182" s="0" t="n">
        <v>199</v>
      </c>
      <c r="I182" s="0" t="n">
        <v>170</v>
      </c>
      <c r="J182" s="0" t="n">
        <v>347</v>
      </c>
      <c r="K182" s="0" t="n">
        <v>162</v>
      </c>
      <c r="L182" s="0" t="n">
        <v>215</v>
      </c>
      <c r="M182" s="0" t="n">
        <v>0</v>
      </c>
      <c r="N182" s="0" t="n">
        <v>9</v>
      </c>
      <c r="O182" s="0" t="n">
        <v>221</v>
      </c>
      <c r="P182" s="0" t="n">
        <v>42</v>
      </c>
      <c r="Q182" s="114" t="n">
        <v>65</v>
      </c>
      <c r="R182" s="144" t="n">
        <v>175</v>
      </c>
      <c r="S182" s="114" t="n">
        <v>1.75</v>
      </c>
      <c r="T182" s="114" t="n">
        <v>1.2</v>
      </c>
      <c r="U182" s="114" t="n">
        <v>0.85</v>
      </c>
      <c r="V182" s="114" t="n">
        <v>0</v>
      </c>
      <c r="W182" s="0" t="s">
        <v>1088</v>
      </c>
      <c r="X182" s="0" t="s">
        <v>1093</v>
      </c>
      <c r="Y182" s="0" t="s">
        <v>1094</v>
      </c>
      <c r="Z182" s="114" t="s">
        <v>58</v>
      </c>
      <c r="AA182" s="0" t="s">
        <v>1089</v>
      </c>
      <c r="AB182" s="0" t="s">
        <v>1095</v>
      </c>
      <c r="AC182" s="0" t="s">
        <v>1090</v>
      </c>
      <c r="AD182" s="0" t="s">
        <v>58</v>
      </c>
      <c r="AE182" s="0" t="s">
        <v>1091</v>
      </c>
      <c r="AF182" s="0" t="s">
        <v>1096</v>
      </c>
      <c r="AG182" s="0" t="s">
        <v>464</v>
      </c>
      <c r="AH182" s="0" t="s">
        <v>58</v>
      </c>
    </row>
    <row r="183" customFormat="false" ht="15" hidden="false" customHeight="true" outlineLevel="0" collapsed="false">
      <c r="B183" s="0" t="s">
        <v>1097</v>
      </c>
      <c r="C183" s="0" t="s">
        <v>1065</v>
      </c>
      <c r="D183" s="0" t="s">
        <v>438</v>
      </c>
      <c r="E183" s="0" t="s">
        <v>74</v>
      </c>
      <c r="F183" s="0" t="n">
        <v>2125</v>
      </c>
      <c r="G183" s="0" t="s">
        <v>138</v>
      </c>
      <c r="H183" s="0" t="n">
        <v>199</v>
      </c>
      <c r="I183" s="0" t="n">
        <v>120</v>
      </c>
      <c r="J183" s="0" t="n">
        <v>327</v>
      </c>
      <c r="K183" s="0" t="n">
        <v>157</v>
      </c>
      <c r="L183" s="0" t="n">
        <v>150</v>
      </c>
      <c r="M183" s="0" t="n">
        <v>0</v>
      </c>
      <c r="N183" s="0" t="n">
        <v>9</v>
      </c>
      <c r="O183" s="0" t="n">
        <v>201</v>
      </c>
      <c r="P183" s="0" t="n">
        <v>43</v>
      </c>
      <c r="Q183" s="0" t="n">
        <v>56</v>
      </c>
      <c r="R183" s="116" t="n">
        <v>175</v>
      </c>
      <c r="S183" s="114" t="n">
        <v>1.6</v>
      </c>
      <c r="T183" s="114" t="n">
        <v>1.2</v>
      </c>
      <c r="U183" s="114" t="n">
        <v>0.75</v>
      </c>
      <c r="V183" s="114" t="n">
        <v>0</v>
      </c>
      <c r="W183" s="114" t="s">
        <v>1098</v>
      </c>
      <c r="X183" s="114" t="s">
        <v>1099</v>
      </c>
      <c r="Y183" s="0" t="s">
        <v>1100</v>
      </c>
      <c r="Z183" s="114" t="s">
        <v>58</v>
      </c>
      <c r="AA183" s="114"/>
      <c r="AB183" s="114"/>
      <c r="AC183" s="114"/>
      <c r="AD183" s="114"/>
      <c r="AE183" s="114"/>
      <c r="AF183" s="114"/>
      <c r="AG183" s="114"/>
      <c r="AH183" s="114"/>
    </row>
    <row r="184" customFormat="false" ht="15" hidden="false" customHeight="true" outlineLevel="0" collapsed="false">
      <c r="A184" s="0" t="n">
        <v>237</v>
      </c>
      <c r="B184" s="0" t="s">
        <v>1101</v>
      </c>
      <c r="C184" s="0" t="s">
        <v>1065</v>
      </c>
      <c r="D184" s="0" t="s">
        <v>438</v>
      </c>
      <c r="E184" s="0" t="s">
        <v>459</v>
      </c>
      <c r="F184" s="0" t="n">
        <v>2116</v>
      </c>
      <c r="G184" s="0" t="s">
        <v>138</v>
      </c>
      <c r="H184" s="0" t="n">
        <v>190</v>
      </c>
      <c r="I184" s="0" t="n">
        <v>120</v>
      </c>
      <c r="J184" s="0" t="n">
        <v>327</v>
      </c>
      <c r="K184" s="0" t="n">
        <v>156</v>
      </c>
      <c r="L184" s="0" t="n">
        <v>154</v>
      </c>
      <c r="M184" s="0" t="n">
        <v>0</v>
      </c>
      <c r="N184" s="0" t="n">
        <v>9</v>
      </c>
      <c r="O184" s="0" t="n">
        <v>201</v>
      </c>
      <c r="P184" s="0" t="n">
        <v>43</v>
      </c>
      <c r="Q184" s="114" t="n">
        <v>72</v>
      </c>
      <c r="R184" s="144" t="n">
        <v>169</v>
      </c>
      <c r="S184" s="114" t="n">
        <v>1.6</v>
      </c>
      <c r="T184" s="114" t="n">
        <v>1.2</v>
      </c>
      <c r="U184" s="114" t="n">
        <v>0.75</v>
      </c>
      <c r="V184" s="114" t="n">
        <v>0</v>
      </c>
      <c r="W184" s="0" t="s">
        <v>1100</v>
      </c>
      <c r="X184" s="114" t="s">
        <v>58</v>
      </c>
      <c r="Y184" s="114" t="s">
        <v>58</v>
      </c>
      <c r="Z184" s="114" t="s">
        <v>58</v>
      </c>
      <c r="AA184" s="0" t="s">
        <v>590</v>
      </c>
      <c r="AB184" s="0" t="s">
        <v>698</v>
      </c>
      <c r="AC184" s="0" t="s">
        <v>1102</v>
      </c>
      <c r="AD184" s="0" t="s">
        <v>58</v>
      </c>
      <c r="AE184" s="0" t="s">
        <v>592</v>
      </c>
      <c r="AF184" s="0" t="s">
        <v>480</v>
      </c>
      <c r="AG184" s="0" t="s">
        <v>464</v>
      </c>
      <c r="AH184" s="0" t="s">
        <v>58</v>
      </c>
    </row>
    <row r="185" customFormat="false" ht="15" hidden="false" customHeight="true" outlineLevel="0" collapsed="false">
      <c r="A185" s="0" t="n">
        <v>466</v>
      </c>
      <c r="B185" s="0" t="s">
        <v>1103</v>
      </c>
      <c r="C185" s="0" t="s">
        <v>1065</v>
      </c>
      <c r="D185" s="0" t="s">
        <v>438</v>
      </c>
      <c r="E185" s="0" t="s">
        <v>74</v>
      </c>
      <c r="F185" s="0" t="n">
        <v>2116</v>
      </c>
      <c r="G185" s="0" t="s">
        <v>138</v>
      </c>
      <c r="H185" s="0" t="n">
        <v>190</v>
      </c>
      <c r="I185" s="0" t="n">
        <v>120</v>
      </c>
      <c r="J185" s="0" t="n">
        <v>327</v>
      </c>
      <c r="K185" s="0" t="n">
        <v>156</v>
      </c>
      <c r="L185" s="0" t="n">
        <v>154</v>
      </c>
      <c r="M185" s="0" t="n">
        <v>0</v>
      </c>
      <c r="N185" s="0" t="n">
        <v>9</v>
      </c>
      <c r="O185" s="0" t="n">
        <v>201</v>
      </c>
      <c r="P185" s="0" t="n">
        <v>43</v>
      </c>
      <c r="Q185" s="0" t="n">
        <v>43</v>
      </c>
      <c r="R185" s="116" t="n">
        <v>169</v>
      </c>
      <c r="S185" s="114" t="n">
        <v>1.6</v>
      </c>
      <c r="T185" s="114" t="n">
        <v>1.2</v>
      </c>
      <c r="U185" s="114" t="n">
        <v>0.75</v>
      </c>
      <c r="V185" s="114" t="n">
        <v>0</v>
      </c>
      <c r="W185" s="0" t="s">
        <v>1100</v>
      </c>
      <c r="X185" s="114" t="s">
        <v>58</v>
      </c>
      <c r="Y185" s="114" t="s">
        <v>58</v>
      </c>
      <c r="Z185" s="114" t="s">
        <v>58</v>
      </c>
      <c r="AA185" s="0" t="s">
        <v>590</v>
      </c>
      <c r="AB185" s="114" t="s">
        <v>1104</v>
      </c>
      <c r="AC185" s="0" t="s">
        <v>1102</v>
      </c>
      <c r="AD185" s="0" t="s">
        <v>58</v>
      </c>
      <c r="AE185" s="0" t="s">
        <v>592</v>
      </c>
      <c r="AF185" s="114" t="s">
        <v>1105</v>
      </c>
      <c r="AG185" s="0" t="s">
        <v>464</v>
      </c>
      <c r="AH185" s="0" t="s">
        <v>58</v>
      </c>
    </row>
    <row r="186" customFormat="false" ht="15" hidden="false" customHeight="true" outlineLevel="0" collapsed="false">
      <c r="B186" s="0" t="s">
        <v>1106</v>
      </c>
      <c r="C186" s="0" t="s">
        <v>1065</v>
      </c>
      <c r="D186" s="0" t="s">
        <v>438</v>
      </c>
      <c r="E186" s="0" t="s">
        <v>74</v>
      </c>
      <c r="F186" s="0" t="n">
        <v>2123</v>
      </c>
      <c r="G186" s="0" t="s">
        <v>138</v>
      </c>
      <c r="H186" s="0" t="n">
        <v>207</v>
      </c>
      <c r="I186" s="0" t="n">
        <v>76</v>
      </c>
      <c r="J186" s="0" t="n">
        <v>423</v>
      </c>
      <c r="K186" s="0" t="n">
        <v>156</v>
      </c>
      <c r="L186" s="0" t="n">
        <v>143</v>
      </c>
      <c r="M186" s="0" t="n">
        <v>0</v>
      </c>
      <c r="N186" s="0" t="n">
        <v>9</v>
      </c>
      <c r="O186" s="0" t="n">
        <v>197</v>
      </c>
      <c r="P186" s="0" t="n">
        <v>43</v>
      </c>
      <c r="Q186" s="0" t="n">
        <v>45</v>
      </c>
      <c r="R186" s="116" t="n">
        <v>167</v>
      </c>
      <c r="S186" s="114" t="n">
        <v>1.6</v>
      </c>
      <c r="T186" s="114" t="n">
        <v>1.2</v>
      </c>
      <c r="U186" s="114" t="n">
        <v>0.75</v>
      </c>
      <c r="V186" s="114" t="n">
        <v>0</v>
      </c>
      <c r="W186" s="114" t="s">
        <v>1107</v>
      </c>
      <c r="X186" s="0" t="s">
        <v>1100</v>
      </c>
      <c r="Y186" s="114" t="s">
        <v>58</v>
      </c>
      <c r="Z186" s="114" t="s">
        <v>58</v>
      </c>
      <c r="AA186" s="114"/>
      <c r="AB186" s="114"/>
      <c r="AC186" s="114"/>
      <c r="AD186" s="114"/>
      <c r="AE186" s="114"/>
      <c r="AF186" s="114"/>
      <c r="AG186" s="114"/>
      <c r="AH186" s="114"/>
    </row>
    <row r="187" customFormat="false" ht="15" hidden="false" customHeight="true" outlineLevel="0" collapsed="false">
      <c r="A187" s="0" t="n">
        <v>345</v>
      </c>
      <c r="B187" s="0" t="s">
        <v>1108</v>
      </c>
      <c r="C187" s="0" t="s">
        <v>1065</v>
      </c>
      <c r="D187" s="0" t="s">
        <v>438</v>
      </c>
      <c r="E187" s="0" t="s">
        <v>459</v>
      </c>
      <c r="F187" s="0" t="n">
        <v>2092</v>
      </c>
      <c r="G187" s="0" t="s">
        <v>138</v>
      </c>
      <c r="H187" s="0" t="n">
        <v>201</v>
      </c>
      <c r="I187" s="0" t="n">
        <v>80</v>
      </c>
      <c r="J187" s="0" t="n">
        <v>440</v>
      </c>
      <c r="K187" s="0" t="n">
        <v>159</v>
      </c>
      <c r="L187" s="0" t="n">
        <v>182</v>
      </c>
      <c r="M187" s="0" t="n">
        <v>0</v>
      </c>
      <c r="N187" s="0" t="n">
        <v>9</v>
      </c>
      <c r="O187" s="0" t="n">
        <v>202</v>
      </c>
      <c r="P187" s="0" t="n">
        <v>43</v>
      </c>
      <c r="Q187" s="114" t="n">
        <v>35</v>
      </c>
      <c r="R187" s="144" t="n">
        <v>181</v>
      </c>
      <c r="S187" s="114" t="n">
        <v>1.5</v>
      </c>
      <c r="T187" s="114" t="n">
        <v>1.2</v>
      </c>
      <c r="U187" s="114" t="n">
        <v>1.25</v>
      </c>
      <c r="V187" s="114" t="n">
        <v>0</v>
      </c>
      <c r="W187" s="0" t="s">
        <v>1109</v>
      </c>
      <c r="X187" s="114" t="s">
        <v>58</v>
      </c>
      <c r="Y187" s="114" t="s">
        <v>58</v>
      </c>
      <c r="Z187" s="114" t="s">
        <v>58</v>
      </c>
      <c r="AA187" s="0" t="s">
        <v>1110</v>
      </c>
      <c r="AB187" s="0" t="s">
        <v>1111</v>
      </c>
      <c r="AC187" s="0" t="s">
        <v>58</v>
      </c>
      <c r="AD187" s="0" t="s">
        <v>58</v>
      </c>
      <c r="AE187" s="0" t="s">
        <v>1112</v>
      </c>
      <c r="AF187" s="0" t="s">
        <v>464</v>
      </c>
      <c r="AG187" s="0" t="s">
        <v>58</v>
      </c>
      <c r="AH187" s="0" t="s">
        <v>58</v>
      </c>
    </row>
    <row r="188" customFormat="false" ht="15" hidden="false" customHeight="true" outlineLevel="0" collapsed="false">
      <c r="A188" s="0" t="n">
        <v>388</v>
      </c>
      <c r="B188" s="0" t="s">
        <v>1113</v>
      </c>
      <c r="C188" s="0" t="s">
        <v>1065</v>
      </c>
      <c r="D188" s="0" t="s">
        <v>430</v>
      </c>
      <c r="E188" s="0" t="s">
        <v>74</v>
      </c>
      <c r="F188" s="0" t="n">
        <v>2092</v>
      </c>
      <c r="G188" s="0" t="s">
        <v>138</v>
      </c>
      <c r="H188" s="0" t="n">
        <v>209</v>
      </c>
      <c r="I188" s="0" t="n">
        <v>82</v>
      </c>
      <c r="J188" s="0" t="n">
        <v>437</v>
      </c>
      <c r="K188" s="0" t="n">
        <v>159</v>
      </c>
      <c r="L188" s="0" t="n">
        <v>178</v>
      </c>
      <c r="M188" s="0" t="n">
        <v>0</v>
      </c>
      <c r="N188" s="0" t="n">
        <v>9</v>
      </c>
      <c r="O188" s="0" t="n">
        <v>200</v>
      </c>
      <c r="P188" s="0" t="n">
        <v>43</v>
      </c>
      <c r="Q188" s="0" t="n">
        <v>36</v>
      </c>
      <c r="R188" s="144" t="n">
        <v>186</v>
      </c>
      <c r="S188" s="114" t="n">
        <v>1.45</v>
      </c>
      <c r="T188" s="114" t="n">
        <v>1.25</v>
      </c>
      <c r="U188" s="114" t="n">
        <v>1.25</v>
      </c>
      <c r="V188" s="114" t="n">
        <v>0</v>
      </c>
      <c r="W188" s="0" t="s">
        <v>1109</v>
      </c>
      <c r="X188" s="0" t="s">
        <v>1113</v>
      </c>
      <c r="Y188" s="114" t="s">
        <v>58</v>
      </c>
      <c r="Z188" s="114" t="s">
        <v>58</v>
      </c>
      <c r="AA188" s="0" t="s">
        <v>1114</v>
      </c>
      <c r="AB188" s="0" t="s">
        <v>1111</v>
      </c>
      <c r="AC188" s="0" t="s">
        <v>58</v>
      </c>
      <c r="AD188" s="0" t="s">
        <v>58</v>
      </c>
      <c r="AE188" s="0" t="s">
        <v>1115</v>
      </c>
      <c r="AF188" s="0" t="s">
        <v>464</v>
      </c>
      <c r="AG188" s="0" t="s">
        <v>58</v>
      </c>
      <c r="AH188" s="0" t="s">
        <v>58</v>
      </c>
    </row>
    <row r="189" customFormat="false" ht="15" hidden="false" customHeight="true" outlineLevel="0" collapsed="false">
      <c r="A189" s="0" t="n">
        <v>267</v>
      </c>
      <c r="B189" s="0" t="s">
        <v>1116</v>
      </c>
      <c r="C189" s="0" t="s">
        <v>1065</v>
      </c>
      <c r="D189" s="0" t="s">
        <v>430</v>
      </c>
      <c r="E189" s="0" t="s">
        <v>459</v>
      </c>
      <c r="F189" s="0" t="n">
        <v>2595</v>
      </c>
      <c r="G189" s="0" t="s">
        <v>138</v>
      </c>
      <c r="H189" s="0" t="n">
        <v>212</v>
      </c>
      <c r="I189" s="0" t="n">
        <v>90</v>
      </c>
      <c r="J189" s="0" t="n">
        <v>452</v>
      </c>
      <c r="K189" s="0" t="n">
        <v>151</v>
      </c>
      <c r="L189" s="0" t="n">
        <v>255</v>
      </c>
      <c r="M189" s="0" t="n">
        <v>0</v>
      </c>
      <c r="N189" s="0" t="n">
        <v>10</v>
      </c>
      <c r="O189" s="0" t="n">
        <v>210</v>
      </c>
      <c r="P189" s="0" t="n">
        <v>43</v>
      </c>
      <c r="Q189" s="114" t="n">
        <v>63</v>
      </c>
      <c r="R189" s="144" t="n">
        <v>180</v>
      </c>
      <c r="S189" s="114" t="n">
        <v>1.6</v>
      </c>
      <c r="T189" s="114" t="n">
        <v>1.2</v>
      </c>
      <c r="U189" s="114" t="n">
        <v>1.4</v>
      </c>
      <c r="V189" s="114" t="n">
        <v>0</v>
      </c>
      <c r="W189" s="0" t="s">
        <v>1117</v>
      </c>
      <c r="X189" s="0" t="s">
        <v>1118</v>
      </c>
      <c r="Y189" s="114" t="s">
        <v>58</v>
      </c>
      <c r="Z189" s="114" t="s">
        <v>58</v>
      </c>
      <c r="AA189" s="0" t="s">
        <v>1119</v>
      </c>
      <c r="AB189" s="0" t="s">
        <v>1081</v>
      </c>
      <c r="AC189" s="0" t="s">
        <v>1120</v>
      </c>
      <c r="AD189" s="0" t="s">
        <v>58</v>
      </c>
      <c r="AE189" s="0" t="s">
        <v>1121</v>
      </c>
      <c r="AF189" s="0" t="s">
        <v>1077</v>
      </c>
      <c r="AG189" s="0" t="s">
        <v>464</v>
      </c>
      <c r="AH189" s="0" t="s">
        <v>58</v>
      </c>
    </row>
    <row r="190" customFormat="false" ht="14.4" hidden="false" customHeight="false" outlineLevel="0" collapsed="false">
      <c r="S190" s="114"/>
      <c r="T190" s="114"/>
    </row>
    <row r="191" customFormat="false" ht="14.4" hidden="false" customHeight="false" outlineLevel="0" collapsed="false">
      <c r="A191" s="144" t="s">
        <v>415</v>
      </c>
      <c r="B191" s="144" t="s">
        <v>97</v>
      </c>
      <c r="C191" s="144" t="s">
        <v>139</v>
      </c>
      <c r="D191" s="144" t="s">
        <v>416</v>
      </c>
      <c r="E191" s="144" t="s">
        <v>96</v>
      </c>
      <c r="F191" s="144" t="s">
        <v>45</v>
      </c>
      <c r="G191" s="144" t="s">
        <v>417</v>
      </c>
      <c r="H191" s="144" t="s">
        <v>100</v>
      </c>
      <c r="I191" s="144" t="s">
        <v>98</v>
      </c>
      <c r="J191" s="144" t="s">
        <v>99</v>
      </c>
      <c r="K191" s="144" t="s">
        <v>46</v>
      </c>
      <c r="L191" s="144" t="s">
        <v>50</v>
      </c>
      <c r="M191" s="144" t="s">
        <v>262</v>
      </c>
      <c r="N191" s="144" t="s">
        <v>418</v>
      </c>
      <c r="O191" s="144" t="s">
        <v>105</v>
      </c>
      <c r="P191" s="144" t="s">
        <v>419</v>
      </c>
      <c r="Q191" s="145" t="s">
        <v>420</v>
      </c>
      <c r="R191" s="145" t="s">
        <v>421</v>
      </c>
      <c r="S191" s="145" t="s">
        <v>151</v>
      </c>
      <c r="T191" s="145" t="s">
        <v>155</v>
      </c>
      <c r="U191" s="150" t="s">
        <v>380</v>
      </c>
      <c r="V191" s="150" t="s">
        <v>382</v>
      </c>
      <c r="W191" s="150" t="s">
        <v>441</v>
      </c>
      <c r="X191" s="150" t="s">
        <v>452</v>
      </c>
      <c r="Y191" s="150" t="s">
        <v>453</v>
      </c>
      <c r="Z191" s="150" t="s">
        <v>454</v>
      </c>
      <c r="AA191" s="150" t="s">
        <v>422</v>
      </c>
      <c r="AB191" s="150" t="s">
        <v>423</v>
      </c>
      <c r="AC191" s="150" t="s">
        <v>424</v>
      </c>
      <c r="AD191" s="150" t="s">
        <v>455</v>
      </c>
      <c r="AE191" s="150" t="s">
        <v>425</v>
      </c>
      <c r="AF191" s="150" t="s">
        <v>426</v>
      </c>
      <c r="AG191" s="150" t="s">
        <v>427</v>
      </c>
      <c r="AH191" s="150" t="s">
        <v>456</v>
      </c>
    </row>
    <row r="192" customFormat="false" ht="14.4" hidden="false" customHeight="false" outlineLevel="0" collapsed="false">
      <c r="A192" s="0" t="n">
        <v>187</v>
      </c>
      <c r="B192" s="0" t="s">
        <v>1122</v>
      </c>
      <c r="C192" s="0" t="s">
        <v>429</v>
      </c>
      <c r="D192" s="0" t="s">
        <v>527</v>
      </c>
      <c r="E192" s="0" t="s">
        <v>1123</v>
      </c>
      <c r="F192" s="0" t="n">
        <v>2891</v>
      </c>
      <c r="G192" s="0" t="s">
        <v>138</v>
      </c>
      <c r="H192" s="0" t="n">
        <v>173</v>
      </c>
      <c r="I192" s="0" t="n">
        <v>140</v>
      </c>
      <c r="J192" s="0" t="n">
        <v>279</v>
      </c>
      <c r="K192" s="0" t="n">
        <v>105</v>
      </c>
      <c r="L192" s="0" t="n">
        <v>278</v>
      </c>
      <c r="M192" s="0" t="n">
        <v>0</v>
      </c>
      <c r="N192" s="0" t="n">
        <v>8</v>
      </c>
      <c r="O192" s="0" t="n">
        <v>92</v>
      </c>
      <c r="P192" s="0" t="n">
        <v>36</v>
      </c>
      <c r="Q192" s="114" t="n">
        <v>43</v>
      </c>
      <c r="R192" s="114" t="n">
        <v>145</v>
      </c>
      <c r="S192" s="114" t="n">
        <v>1.1</v>
      </c>
      <c r="T192" s="114" t="n">
        <v>1.6</v>
      </c>
      <c r="U192" s="114" t="n">
        <v>1.25</v>
      </c>
      <c r="V192" s="114" t="n">
        <v>0</v>
      </c>
      <c r="W192" s="0" t="s">
        <v>1124</v>
      </c>
      <c r="X192" s="114" t="s">
        <v>58</v>
      </c>
      <c r="Y192" s="114" t="s">
        <v>58</v>
      </c>
      <c r="Z192" s="114" t="s">
        <v>58</v>
      </c>
      <c r="AA192" s="0" t="s">
        <v>595</v>
      </c>
      <c r="AB192" s="0" t="s">
        <v>1125</v>
      </c>
      <c r="AC192" s="0" t="s">
        <v>58</v>
      </c>
      <c r="AD192" s="0" t="s">
        <v>58</v>
      </c>
      <c r="AE192" s="0" t="s">
        <v>597</v>
      </c>
      <c r="AF192" s="0" t="s">
        <v>464</v>
      </c>
      <c r="AG192" s="0" t="s">
        <v>58</v>
      </c>
      <c r="AH192" s="0" t="s">
        <v>58</v>
      </c>
    </row>
    <row r="193" customFormat="false" ht="14.4" hidden="false" customHeight="false" outlineLevel="0" collapsed="false">
      <c r="A193" s="0" t="n">
        <v>3187</v>
      </c>
      <c r="B193" s="0" t="s">
        <v>1126</v>
      </c>
      <c r="C193" s="0" t="s">
        <v>429</v>
      </c>
      <c r="D193" s="0" t="s">
        <v>472</v>
      </c>
      <c r="E193" s="0" t="s">
        <v>1123</v>
      </c>
      <c r="F193" s="0" t="n">
        <v>3131</v>
      </c>
      <c r="G193" s="0" t="s">
        <v>138</v>
      </c>
      <c r="H193" s="0" t="n">
        <v>178</v>
      </c>
      <c r="I193" s="0" t="n">
        <v>160</v>
      </c>
      <c r="J193" s="0" t="n">
        <v>344</v>
      </c>
      <c r="K193" s="0" t="n">
        <v>105</v>
      </c>
      <c r="L193" s="0" t="n">
        <v>278</v>
      </c>
      <c r="M193" s="0" t="n">
        <v>0</v>
      </c>
      <c r="N193" s="0" t="n">
        <v>8</v>
      </c>
      <c r="O193" s="0" t="n">
        <v>92</v>
      </c>
      <c r="P193" s="0" t="n">
        <v>36</v>
      </c>
      <c r="Q193" s="114" t="n">
        <v>43</v>
      </c>
      <c r="R193" s="114" t="n">
        <v>145</v>
      </c>
      <c r="S193" s="114" t="n">
        <v>1.15</v>
      </c>
      <c r="T193" s="114" t="n">
        <v>1.75</v>
      </c>
      <c r="U193" s="114" t="n">
        <v>1.25</v>
      </c>
      <c r="V193" s="114" t="n">
        <v>0</v>
      </c>
      <c r="W193" s="0" t="s">
        <v>1124</v>
      </c>
      <c r="X193" s="114" t="s">
        <v>58</v>
      </c>
      <c r="Y193" s="114" t="s">
        <v>58</v>
      </c>
      <c r="Z193" s="114" t="s">
        <v>58</v>
      </c>
      <c r="AA193" s="0" t="s">
        <v>595</v>
      </c>
      <c r="AB193" s="0" t="s">
        <v>518</v>
      </c>
      <c r="AC193" s="0" t="s">
        <v>1125</v>
      </c>
      <c r="AD193" s="0" t="s">
        <v>58</v>
      </c>
      <c r="AE193" s="0" t="s">
        <v>597</v>
      </c>
      <c r="AF193" s="0" t="s">
        <v>520</v>
      </c>
      <c r="AG193" s="0" t="s">
        <v>464</v>
      </c>
      <c r="AH193" s="0" t="s">
        <v>58</v>
      </c>
    </row>
    <row r="194" customFormat="false" ht="14.4" hidden="false" customHeight="false" outlineLevel="0" collapsed="false">
      <c r="A194" s="0" t="n">
        <v>105</v>
      </c>
      <c r="B194" s="0" t="s">
        <v>1127</v>
      </c>
      <c r="C194" s="0" t="s">
        <v>471</v>
      </c>
      <c r="D194" s="0" t="s">
        <v>472</v>
      </c>
      <c r="E194" s="0" t="s">
        <v>1123</v>
      </c>
      <c r="F194" s="0" t="n">
        <v>2974</v>
      </c>
      <c r="G194" s="0" t="s">
        <v>138</v>
      </c>
      <c r="H194" s="0" t="n">
        <v>175</v>
      </c>
      <c r="I194" s="0" t="n">
        <v>163</v>
      </c>
      <c r="J194" s="0" t="n">
        <v>324</v>
      </c>
      <c r="K194" s="0" t="n">
        <v>97</v>
      </c>
      <c r="L194" s="0" t="n">
        <v>295</v>
      </c>
      <c r="M194" s="0" t="n">
        <v>0</v>
      </c>
      <c r="N194" s="0" t="n">
        <v>9</v>
      </c>
      <c r="O194" s="0" t="n">
        <v>128</v>
      </c>
      <c r="P194" s="0" t="n">
        <v>32</v>
      </c>
      <c r="Q194" s="114" t="n">
        <v>54</v>
      </c>
      <c r="R194" s="114" t="n">
        <v>148</v>
      </c>
      <c r="S194" s="114" t="n">
        <v>1.45</v>
      </c>
      <c r="T194" s="114" t="n">
        <v>1.55</v>
      </c>
      <c r="U194" s="114" t="n">
        <v>1</v>
      </c>
      <c r="V194" s="114" t="n">
        <v>0</v>
      </c>
      <c r="W194" s="0" t="s">
        <v>1128</v>
      </c>
      <c r="X194" s="114" t="s">
        <v>58</v>
      </c>
      <c r="Y194" s="114" t="s">
        <v>58</v>
      </c>
      <c r="Z194" s="114" t="s">
        <v>58</v>
      </c>
      <c r="AA194" s="0" t="s">
        <v>590</v>
      </c>
      <c r="AB194" s="0" t="s">
        <v>1129</v>
      </c>
      <c r="AC194" s="0" t="s">
        <v>58</v>
      </c>
      <c r="AD194" s="0" t="s">
        <v>58</v>
      </c>
      <c r="AE194" s="0" t="s">
        <v>592</v>
      </c>
      <c r="AF194" s="0" t="s">
        <v>464</v>
      </c>
      <c r="AG194" s="0" t="s">
        <v>58</v>
      </c>
      <c r="AH194" s="0" t="s">
        <v>58</v>
      </c>
    </row>
    <row r="195" customFormat="false" ht="14.4" hidden="false" customHeight="false" outlineLevel="0" collapsed="false">
      <c r="A195" s="0" t="n">
        <v>3105</v>
      </c>
      <c r="B195" s="0" t="s">
        <v>1130</v>
      </c>
      <c r="C195" s="0" t="s">
        <v>471</v>
      </c>
      <c r="D195" s="0" t="s">
        <v>438</v>
      </c>
      <c r="E195" s="0" t="s">
        <v>1123</v>
      </c>
      <c r="F195" s="0" t="n">
        <v>3214</v>
      </c>
      <c r="G195" s="0" t="s">
        <v>138</v>
      </c>
      <c r="H195" s="0" t="n">
        <v>180</v>
      </c>
      <c r="I195" s="0" t="n">
        <v>213</v>
      </c>
      <c r="J195" s="0" t="n">
        <v>359</v>
      </c>
      <c r="K195" s="0" t="n">
        <v>97</v>
      </c>
      <c r="L195" s="0" t="n">
        <v>295</v>
      </c>
      <c r="M195" s="0" t="n">
        <v>0</v>
      </c>
      <c r="N195" s="0" t="n">
        <v>9</v>
      </c>
      <c r="O195" s="0" t="n">
        <v>128</v>
      </c>
      <c r="P195" s="0" t="n">
        <v>32</v>
      </c>
      <c r="Q195" s="114" t="n">
        <v>54</v>
      </c>
      <c r="R195" s="114" t="n">
        <v>148</v>
      </c>
      <c r="S195" s="114" t="n">
        <v>1.6</v>
      </c>
      <c r="T195" s="114" t="n">
        <v>1.6</v>
      </c>
      <c r="U195" s="114" t="n">
        <v>1</v>
      </c>
      <c r="V195" s="114" t="n">
        <v>0</v>
      </c>
      <c r="W195" s="0" t="s">
        <v>1128</v>
      </c>
      <c r="X195" s="114" t="s">
        <v>58</v>
      </c>
      <c r="Y195" s="114" t="s">
        <v>58</v>
      </c>
      <c r="Z195" s="114" t="s">
        <v>58</v>
      </c>
      <c r="AA195" s="0" t="s">
        <v>590</v>
      </c>
      <c r="AB195" s="0" t="s">
        <v>1131</v>
      </c>
      <c r="AC195" s="0" t="s">
        <v>1129</v>
      </c>
      <c r="AD195" s="0" t="s">
        <v>58</v>
      </c>
      <c r="AE195" s="0" t="s">
        <v>592</v>
      </c>
      <c r="AF195" s="0" t="s">
        <v>1132</v>
      </c>
      <c r="AG195" s="0" t="s">
        <v>464</v>
      </c>
      <c r="AH195" s="0" t="s">
        <v>58</v>
      </c>
    </row>
    <row r="196" customFormat="false" ht="14.4" hidden="false" customHeight="false" outlineLevel="0" collapsed="false">
      <c r="A196" s="0" t="n">
        <v>321</v>
      </c>
      <c r="B196" s="0" t="s">
        <v>1133</v>
      </c>
      <c r="C196" s="0" t="s">
        <v>429</v>
      </c>
      <c r="D196" s="0" t="s">
        <v>438</v>
      </c>
      <c r="E196" s="0" t="s">
        <v>1123</v>
      </c>
      <c r="F196" s="0" t="n">
        <v>3159</v>
      </c>
      <c r="G196" s="0" t="s">
        <v>138</v>
      </c>
      <c r="H196" s="0" t="n">
        <v>168</v>
      </c>
      <c r="I196" s="0" t="n">
        <v>148</v>
      </c>
      <c r="J196" s="0" t="n">
        <v>353</v>
      </c>
      <c r="K196" s="0" t="n">
        <v>104</v>
      </c>
      <c r="L196" s="0" t="n">
        <v>323</v>
      </c>
      <c r="M196" s="0" t="n">
        <v>0</v>
      </c>
      <c r="N196" s="0" t="n">
        <v>10</v>
      </c>
      <c r="O196" s="0" t="n">
        <v>79</v>
      </c>
      <c r="P196" s="0" t="n">
        <v>35</v>
      </c>
      <c r="Q196" s="114" t="n">
        <v>21</v>
      </c>
      <c r="R196" s="114" t="n">
        <v>148</v>
      </c>
      <c r="S196" s="114" t="n">
        <v>1</v>
      </c>
      <c r="T196" s="114" t="n">
        <v>1.7</v>
      </c>
      <c r="U196" s="114" t="n">
        <v>1</v>
      </c>
      <c r="V196" s="114" t="n">
        <v>0</v>
      </c>
      <c r="W196" s="0" t="s">
        <v>1134</v>
      </c>
      <c r="X196" s="114" t="s">
        <v>58</v>
      </c>
      <c r="Y196" s="114" t="s">
        <v>58</v>
      </c>
      <c r="Z196" s="114" t="s">
        <v>58</v>
      </c>
      <c r="AA196" s="0" t="s">
        <v>674</v>
      </c>
      <c r="AB196" s="0" t="s">
        <v>1135</v>
      </c>
      <c r="AC196" s="0" t="s">
        <v>1136</v>
      </c>
      <c r="AD196" s="0" t="s">
        <v>58</v>
      </c>
      <c r="AE196" s="0" t="s">
        <v>676</v>
      </c>
      <c r="AF196" s="0" t="s">
        <v>490</v>
      </c>
      <c r="AG196" s="0" t="s">
        <v>464</v>
      </c>
      <c r="AH196" s="0" t="s">
        <v>58</v>
      </c>
    </row>
    <row r="197" customFormat="false" ht="14.4" hidden="false" customHeight="false" outlineLevel="0" collapsed="false">
      <c r="A197" s="0" t="n">
        <v>106</v>
      </c>
      <c r="B197" s="0" t="s">
        <v>1137</v>
      </c>
      <c r="C197" s="0" t="s">
        <v>471</v>
      </c>
      <c r="D197" s="0" t="s">
        <v>472</v>
      </c>
      <c r="E197" s="0" t="s">
        <v>1123</v>
      </c>
      <c r="F197" s="0" t="n">
        <v>2974</v>
      </c>
      <c r="G197" s="0" t="s">
        <v>138</v>
      </c>
      <c r="H197" s="0" t="n">
        <v>175</v>
      </c>
      <c r="I197" s="0" t="n">
        <v>163</v>
      </c>
      <c r="J197" s="0" t="n">
        <v>324</v>
      </c>
      <c r="K197" s="0" t="n">
        <v>97</v>
      </c>
      <c r="L197" s="0" t="n">
        <v>295</v>
      </c>
      <c r="M197" s="0" t="n">
        <v>0</v>
      </c>
      <c r="N197" s="0" t="n">
        <v>9</v>
      </c>
      <c r="O197" s="0" t="n">
        <v>128</v>
      </c>
      <c r="P197" s="0" t="n">
        <v>32</v>
      </c>
      <c r="Q197" s="114" t="n">
        <v>74</v>
      </c>
      <c r="R197" s="114" t="n">
        <v>148</v>
      </c>
      <c r="S197" s="114" t="n">
        <v>1.45</v>
      </c>
      <c r="T197" s="114" t="n">
        <v>1.55</v>
      </c>
      <c r="U197" s="114" t="n">
        <v>1</v>
      </c>
      <c r="V197" s="114" t="n">
        <v>0</v>
      </c>
      <c r="W197" s="0" t="s">
        <v>1128</v>
      </c>
      <c r="X197" s="114" t="s">
        <v>58</v>
      </c>
      <c r="Y197" s="114" t="s">
        <v>58</v>
      </c>
      <c r="Z197" s="114" t="s">
        <v>58</v>
      </c>
      <c r="AA197" s="0" t="s">
        <v>590</v>
      </c>
      <c r="AB197" s="0" t="s">
        <v>1129</v>
      </c>
      <c r="AC197" s="0" t="s">
        <v>58</v>
      </c>
      <c r="AD197" s="0" t="s">
        <v>58</v>
      </c>
      <c r="AE197" s="0" t="s">
        <v>592</v>
      </c>
      <c r="AF197" s="0" t="s">
        <v>464</v>
      </c>
      <c r="AG197" s="0" t="s">
        <v>58</v>
      </c>
      <c r="AH197" s="0" t="s">
        <v>58</v>
      </c>
    </row>
    <row r="198" customFormat="false" ht="14.4" hidden="false" customHeight="false" outlineLevel="0" collapsed="false">
      <c r="A198" s="0" t="n">
        <v>3106</v>
      </c>
      <c r="B198" s="0" t="s">
        <v>1138</v>
      </c>
      <c r="C198" s="0" t="s">
        <v>471</v>
      </c>
      <c r="D198" s="0" t="s">
        <v>438</v>
      </c>
      <c r="E198" s="0" t="s">
        <v>1123</v>
      </c>
      <c r="F198" s="0" t="n">
        <v>3214</v>
      </c>
      <c r="G198" s="0" t="s">
        <v>138</v>
      </c>
      <c r="H198" s="0" t="n">
        <v>180</v>
      </c>
      <c r="I198" s="0" t="n">
        <v>213</v>
      </c>
      <c r="J198" s="0" t="n">
        <v>359</v>
      </c>
      <c r="K198" s="0" t="n">
        <v>97</v>
      </c>
      <c r="L198" s="0" t="n">
        <v>295</v>
      </c>
      <c r="M198" s="0" t="n">
        <v>0</v>
      </c>
      <c r="N198" s="0" t="n">
        <v>9</v>
      </c>
      <c r="O198" s="0" t="n">
        <v>128</v>
      </c>
      <c r="P198" s="0" t="n">
        <v>32</v>
      </c>
      <c r="Q198" s="114" t="n">
        <v>74</v>
      </c>
      <c r="R198" s="114" t="n">
        <v>148</v>
      </c>
      <c r="S198" s="114" t="n">
        <v>1.6</v>
      </c>
      <c r="T198" s="114" t="n">
        <v>1.6</v>
      </c>
      <c r="U198" s="114" t="n">
        <v>1</v>
      </c>
      <c r="V198" s="114" t="n">
        <v>0</v>
      </c>
      <c r="W198" s="0" t="s">
        <v>1128</v>
      </c>
      <c r="X198" s="114" t="s">
        <v>58</v>
      </c>
      <c r="Y198" s="114" t="s">
        <v>58</v>
      </c>
      <c r="Z198" s="114" t="s">
        <v>58</v>
      </c>
      <c r="AA198" s="0" t="s">
        <v>590</v>
      </c>
      <c r="AB198" s="0" t="s">
        <v>1131</v>
      </c>
      <c r="AC198" s="0" t="s">
        <v>1129</v>
      </c>
      <c r="AD198" s="0" t="s">
        <v>58</v>
      </c>
      <c r="AE198" s="0" t="s">
        <v>592</v>
      </c>
      <c r="AF198" s="0" t="s">
        <v>1132</v>
      </c>
      <c r="AG198" s="0" t="s">
        <v>464</v>
      </c>
      <c r="AH198" s="0" t="s">
        <v>58</v>
      </c>
    </row>
    <row r="199" customFormat="false" ht="14.4" hidden="false" customHeight="false" outlineLevel="0" collapsed="false">
      <c r="A199" s="0" t="n">
        <v>116</v>
      </c>
      <c r="B199" s="0" t="s">
        <v>1139</v>
      </c>
      <c r="C199" s="0" t="s">
        <v>471</v>
      </c>
      <c r="D199" s="0" t="s">
        <v>472</v>
      </c>
      <c r="E199" s="0" t="s">
        <v>1123</v>
      </c>
      <c r="F199" s="0" t="n">
        <v>2830</v>
      </c>
      <c r="G199" s="0" t="s">
        <v>138</v>
      </c>
      <c r="H199" s="0" t="n">
        <v>187</v>
      </c>
      <c r="I199" s="0" t="n">
        <v>156</v>
      </c>
      <c r="J199" s="0" t="n">
        <v>270</v>
      </c>
      <c r="K199" s="0" t="n">
        <v>100</v>
      </c>
      <c r="L199" s="0" t="n">
        <v>324</v>
      </c>
      <c r="M199" s="0" t="n">
        <v>0</v>
      </c>
      <c r="N199" s="0" t="n">
        <v>9</v>
      </c>
      <c r="O199" s="0" t="n">
        <v>115</v>
      </c>
      <c r="P199" s="0" t="n">
        <v>32</v>
      </c>
      <c r="Q199" s="114" t="n">
        <v>69</v>
      </c>
      <c r="R199" s="114" t="n">
        <v>170</v>
      </c>
      <c r="S199" s="114" t="n">
        <v>1.3</v>
      </c>
      <c r="T199" s="114" t="n">
        <v>1.55</v>
      </c>
      <c r="U199" s="114" t="n">
        <v>1.3</v>
      </c>
      <c r="V199" s="114" t="n">
        <v>0</v>
      </c>
      <c r="W199" s="0" t="s">
        <v>1140</v>
      </c>
      <c r="X199" s="114" t="s">
        <v>58</v>
      </c>
      <c r="Y199" s="114" t="s">
        <v>58</v>
      </c>
      <c r="Z199" s="114" t="s">
        <v>58</v>
      </c>
      <c r="AA199" s="0" t="s">
        <v>1141</v>
      </c>
      <c r="AB199" s="0" t="s">
        <v>1142</v>
      </c>
      <c r="AC199" s="0" t="s">
        <v>58</v>
      </c>
      <c r="AD199" s="0" t="s">
        <v>58</v>
      </c>
      <c r="AE199" s="0" t="s">
        <v>949</v>
      </c>
      <c r="AF199" s="0" t="s">
        <v>464</v>
      </c>
      <c r="AG199" s="0" t="s">
        <v>58</v>
      </c>
      <c r="AH199" s="0" t="s">
        <v>58</v>
      </c>
    </row>
    <row r="200" customFormat="false" ht="14.4" hidden="false" customHeight="false" outlineLevel="0" collapsed="false">
      <c r="A200" s="0" t="n">
        <v>34</v>
      </c>
      <c r="B200" s="0" t="s">
        <v>1143</v>
      </c>
      <c r="C200" s="0" t="s">
        <v>437</v>
      </c>
      <c r="D200" s="0" t="s">
        <v>472</v>
      </c>
      <c r="E200" s="0" t="s">
        <v>1123</v>
      </c>
      <c r="F200" s="0" t="n">
        <v>3517</v>
      </c>
      <c r="G200" s="0" t="s">
        <v>138</v>
      </c>
      <c r="H200" s="0" t="n">
        <v>179</v>
      </c>
      <c r="I200" s="0" t="n">
        <v>129</v>
      </c>
      <c r="J200" s="0" t="n">
        <v>157</v>
      </c>
      <c r="K200" s="0" t="n">
        <v>95</v>
      </c>
      <c r="L200" s="0" t="n">
        <v>422</v>
      </c>
      <c r="M200" s="0" t="n">
        <v>0</v>
      </c>
      <c r="N200" s="0" t="n">
        <v>9</v>
      </c>
      <c r="O200" s="0" t="n">
        <v>187</v>
      </c>
      <c r="P200" s="0" t="n">
        <v>32</v>
      </c>
      <c r="Q200" s="114" t="n">
        <v>12</v>
      </c>
      <c r="R200" s="114" t="n">
        <v>168</v>
      </c>
      <c r="S200" s="114" t="n">
        <v>1.05</v>
      </c>
      <c r="T200" s="114" t="n">
        <v>1.35</v>
      </c>
      <c r="U200" s="114" t="n">
        <v>1.6</v>
      </c>
      <c r="V200" s="114" t="n">
        <v>0</v>
      </c>
      <c r="W200" s="0" t="s">
        <v>1144</v>
      </c>
      <c r="X200" s="114" t="s">
        <v>58</v>
      </c>
      <c r="Y200" s="114" t="s">
        <v>58</v>
      </c>
      <c r="Z200" s="114" t="s">
        <v>58</v>
      </c>
      <c r="AA200" s="0" t="s">
        <v>1145</v>
      </c>
      <c r="AB200" s="0" t="s">
        <v>987</v>
      </c>
      <c r="AC200" s="0" t="s">
        <v>1146</v>
      </c>
      <c r="AD200" s="0" t="s">
        <v>58</v>
      </c>
      <c r="AE200" s="0" t="s">
        <v>1147</v>
      </c>
      <c r="AF200" s="0" t="s">
        <v>702</v>
      </c>
      <c r="AG200" s="0" t="s">
        <v>464</v>
      </c>
      <c r="AH200" s="0" t="s">
        <v>58</v>
      </c>
    </row>
    <row r="201" customFormat="false" ht="14.4" hidden="false" customHeight="false" outlineLevel="0" collapsed="false">
      <c r="A201" s="0" t="n">
        <v>118</v>
      </c>
      <c r="B201" s="0" t="s">
        <v>1148</v>
      </c>
      <c r="C201" s="0" t="s">
        <v>471</v>
      </c>
      <c r="D201" s="0" t="s">
        <v>438</v>
      </c>
      <c r="E201" s="0" t="s">
        <v>1123</v>
      </c>
      <c r="F201" s="0" t="n">
        <v>2914</v>
      </c>
      <c r="G201" s="0" t="s">
        <v>138</v>
      </c>
      <c r="H201" s="0" t="n">
        <v>195</v>
      </c>
      <c r="I201" s="0" t="n">
        <v>162</v>
      </c>
      <c r="J201" s="0" t="n">
        <v>279</v>
      </c>
      <c r="K201" s="0" t="n">
        <v>100</v>
      </c>
      <c r="L201" s="0" t="n">
        <v>333</v>
      </c>
      <c r="M201" s="0" t="n">
        <v>0</v>
      </c>
      <c r="N201" s="0" t="n">
        <v>10</v>
      </c>
      <c r="O201" s="0" t="n">
        <v>109</v>
      </c>
      <c r="P201" s="0" t="n">
        <v>32</v>
      </c>
      <c r="Q201" s="114" t="n">
        <v>84</v>
      </c>
      <c r="R201" s="114" t="n">
        <v>172</v>
      </c>
      <c r="S201" s="114" t="n">
        <v>1.35</v>
      </c>
      <c r="T201" s="114" t="n">
        <v>1.55</v>
      </c>
      <c r="U201" s="114" t="n">
        <v>1.3</v>
      </c>
      <c r="V201" s="114" t="n">
        <v>0</v>
      </c>
      <c r="W201" s="0" t="s">
        <v>1140</v>
      </c>
      <c r="X201" s="114" t="s">
        <v>58</v>
      </c>
      <c r="Y201" s="114" t="s">
        <v>58</v>
      </c>
      <c r="Z201" s="114" t="s">
        <v>58</v>
      </c>
      <c r="AA201" s="0" t="s">
        <v>1149</v>
      </c>
      <c r="AB201" s="0" t="s">
        <v>1150</v>
      </c>
      <c r="AC201" s="0" t="s">
        <v>1151</v>
      </c>
      <c r="AD201" s="0" t="s">
        <v>58</v>
      </c>
      <c r="AE201" s="0" t="s">
        <v>1152</v>
      </c>
      <c r="AF201" s="0" t="s">
        <v>1153</v>
      </c>
      <c r="AG201" s="0" t="s">
        <v>464</v>
      </c>
      <c r="AH201" s="0" t="s">
        <v>58</v>
      </c>
    </row>
    <row r="202" customFormat="false" ht="14.4" hidden="false" customHeight="false" outlineLevel="0" collapsed="false">
      <c r="A202" s="0" t="n">
        <v>262</v>
      </c>
      <c r="B202" s="0" t="s">
        <v>1154</v>
      </c>
      <c r="C202" s="0" t="s">
        <v>1155</v>
      </c>
      <c r="D202" s="0" t="s">
        <v>430</v>
      </c>
      <c r="E202" s="0" t="s">
        <v>1123</v>
      </c>
      <c r="F202" s="0" t="n">
        <v>3372</v>
      </c>
      <c r="G202" s="0" t="s">
        <v>140</v>
      </c>
      <c r="H202" s="0" t="n">
        <v>150</v>
      </c>
      <c r="I202" s="0" t="n">
        <v>104</v>
      </c>
      <c r="J202" s="0" t="n">
        <v>223</v>
      </c>
      <c r="K202" s="0" t="n">
        <v>79</v>
      </c>
      <c r="L202" s="0" t="n">
        <v>160</v>
      </c>
      <c r="M202" s="0" t="n">
        <v>0</v>
      </c>
      <c r="N202" s="0" t="n">
        <v>11</v>
      </c>
      <c r="O202" s="0" t="n">
        <v>57</v>
      </c>
      <c r="P202" s="0" t="n">
        <v>19</v>
      </c>
      <c r="Q202" s="114" t="n">
        <v>55</v>
      </c>
      <c r="R202" s="114" t="n">
        <v>130</v>
      </c>
      <c r="S202" s="114" t="n">
        <v>1.3</v>
      </c>
      <c r="T202" s="114" t="n">
        <v>1.25</v>
      </c>
      <c r="U202" s="114" t="n">
        <v>0.8</v>
      </c>
      <c r="V202" s="114" t="n">
        <v>0</v>
      </c>
      <c r="W202" s="0" t="s">
        <v>1156</v>
      </c>
      <c r="X202" s="114" t="s">
        <v>58</v>
      </c>
      <c r="Y202" s="114" t="s">
        <v>58</v>
      </c>
      <c r="Z202" s="114" t="s">
        <v>58</v>
      </c>
      <c r="AA202" s="0" t="s">
        <v>1157</v>
      </c>
      <c r="AB202" s="0" t="s">
        <v>1158</v>
      </c>
      <c r="AC202" s="0" t="s">
        <v>58</v>
      </c>
      <c r="AD202" s="0" t="s">
        <v>58</v>
      </c>
      <c r="AE202" s="0" t="s">
        <v>1159</v>
      </c>
      <c r="AF202" s="0" t="s">
        <v>464</v>
      </c>
      <c r="AG202" s="0" t="s">
        <v>58</v>
      </c>
      <c r="AH202" s="0" t="s">
        <v>58</v>
      </c>
    </row>
    <row r="203" customFormat="false" ht="14.4" hidden="false" customHeight="false" outlineLevel="0" collapsed="false">
      <c r="A203" s="0" t="n">
        <v>335</v>
      </c>
      <c r="B203" s="0" t="s">
        <v>1160</v>
      </c>
      <c r="C203" s="0" t="s">
        <v>471</v>
      </c>
      <c r="D203" s="0" t="s">
        <v>438</v>
      </c>
      <c r="E203" s="0" t="s">
        <v>1123</v>
      </c>
      <c r="F203" s="0" t="n">
        <v>3231</v>
      </c>
      <c r="G203" s="0" t="s">
        <v>138</v>
      </c>
      <c r="H203" s="0" t="n">
        <v>185</v>
      </c>
      <c r="I203" s="0" t="n">
        <v>159</v>
      </c>
      <c r="J203" s="0" t="n">
        <v>324</v>
      </c>
      <c r="K203" s="0" t="n">
        <v>96</v>
      </c>
      <c r="L203" s="0" t="n">
        <v>282</v>
      </c>
      <c r="M203" s="0" t="n">
        <v>0</v>
      </c>
      <c r="N203" s="0" t="n">
        <v>10</v>
      </c>
      <c r="O203" s="0" t="n">
        <v>147</v>
      </c>
      <c r="P203" s="0" t="n">
        <v>32</v>
      </c>
      <c r="Q203" s="114" t="n">
        <v>89</v>
      </c>
      <c r="R203" s="114" t="n">
        <v>160</v>
      </c>
      <c r="S203" s="114" t="n">
        <v>1.4</v>
      </c>
      <c r="T203" s="114" t="n">
        <v>1.5</v>
      </c>
      <c r="U203" s="114" t="n">
        <v>1</v>
      </c>
      <c r="V203" s="114" t="n">
        <v>0</v>
      </c>
      <c r="W203" s="0" t="s">
        <v>1161</v>
      </c>
      <c r="X203" s="114" t="s">
        <v>58</v>
      </c>
      <c r="Y203" s="114" t="s">
        <v>58</v>
      </c>
      <c r="Z203" s="114" t="s">
        <v>58</v>
      </c>
      <c r="AA203" s="0" t="s">
        <v>1162</v>
      </c>
      <c r="AB203" s="0" t="s">
        <v>1163</v>
      </c>
      <c r="AC203" s="0" t="s">
        <v>1164</v>
      </c>
      <c r="AD203" s="0" t="s">
        <v>58</v>
      </c>
      <c r="AE203" s="0" t="s">
        <v>1165</v>
      </c>
      <c r="AF203" s="0" t="s">
        <v>1166</v>
      </c>
      <c r="AG203" s="0" t="s">
        <v>464</v>
      </c>
      <c r="AH203" s="0" t="s">
        <v>58</v>
      </c>
    </row>
    <row r="204" customFormat="false" ht="14.4" hidden="false" customHeight="false" outlineLevel="0" collapsed="false">
      <c r="A204" s="0" t="n">
        <v>115</v>
      </c>
      <c r="B204" s="0" t="s">
        <v>1167</v>
      </c>
      <c r="C204" s="0" t="s">
        <v>471</v>
      </c>
      <c r="D204" s="0" t="s">
        <v>430</v>
      </c>
      <c r="E204" s="0" t="s">
        <v>1123</v>
      </c>
      <c r="F204" s="0" t="n">
        <v>3970</v>
      </c>
      <c r="G204" s="0" t="s">
        <v>138</v>
      </c>
      <c r="H204" s="0" t="n">
        <v>182</v>
      </c>
      <c r="I204" s="0" t="n">
        <v>179</v>
      </c>
      <c r="J204" s="0" t="n">
        <v>340</v>
      </c>
      <c r="K204" s="0" t="n">
        <v>96</v>
      </c>
      <c r="L204" s="0" t="n">
        <v>293</v>
      </c>
      <c r="M204" s="0" t="n">
        <v>0</v>
      </c>
      <c r="N204" s="0" t="n">
        <v>11</v>
      </c>
      <c r="O204" s="0" t="n">
        <v>144</v>
      </c>
      <c r="P204" s="0" t="n">
        <v>32</v>
      </c>
      <c r="Q204" s="114" t="n">
        <v>88</v>
      </c>
      <c r="R204" s="114" t="n">
        <v>160</v>
      </c>
      <c r="S204" s="114" t="n">
        <v>1.5</v>
      </c>
      <c r="T204" s="114" t="n">
        <v>1.55</v>
      </c>
      <c r="U204" s="114" t="n">
        <v>1</v>
      </c>
      <c r="V204" s="114" t="n">
        <v>0</v>
      </c>
      <c r="W204" s="0" t="s">
        <v>1168</v>
      </c>
      <c r="X204" s="114" t="s">
        <v>58</v>
      </c>
      <c r="Y204" s="114" t="s">
        <v>58</v>
      </c>
      <c r="Z204" s="114" t="s">
        <v>58</v>
      </c>
      <c r="AA204" s="0" t="s">
        <v>1169</v>
      </c>
      <c r="AB204" s="0" t="s">
        <v>1170</v>
      </c>
      <c r="AC204" s="0" t="s">
        <v>1171</v>
      </c>
      <c r="AD204" s="0" t="s">
        <v>58</v>
      </c>
      <c r="AE204" s="0" t="s">
        <v>1172</v>
      </c>
      <c r="AF204" s="0" t="s">
        <v>1173</v>
      </c>
      <c r="AG204" s="0" t="s">
        <v>464</v>
      </c>
      <c r="AH204" s="0" t="s">
        <v>58</v>
      </c>
    </row>
    <row r="205" customFormat="false" ht="14.4" hidden="false" customHeight="false" outlineLevel="0" collapsed="false">
      <c r="A205" s="0" t="n">
        <v>428</v>
      </c>
      <c r="B205" s="0" t="s">
        <v>1174</v>
      </c>
      <c r="C205" s="0" t="s">
        <v>437</v>
      </c>
      <c r="D205" s="0" t="s">
        <v>443</v>
      </c>
      <c r="E205" s="0" t="s">
        <v>1123</v>
      </c>
      <c r="F205" s="0" t="n">
        <v>4307</v>
      </c>
      <c r="G205" s="0" t="s">
        <v>138</v>
      </c>
      <c r="H205" s="0" t="n">
        <v>187</v>
      </c>
      <c r="I205" s="0" t="n">
        <v>151</v>
      </c>
      <c r="J205" s="0" t="n">
        <v>0</v>
      </c>
      <c r="K205" s="0" t="n">
        <v>96</v>
      </c>
      <c r="L205" s="0" t="n">
        <v>323</v>
      </c>
      <c r="M205" s="0" t="n">
        <v>0</v>
      </c>
      <c r="N205" s="0" t="n">
        <v>10</v>
      </c>
      <c r="O205" s="0" t="n">
        <v>100</v>
      </c>
      <c r="P205" s="0" t="n">
        <v>32</v>
      </c>
      <c r="Q205" s="0" t="n">
        <v>68</v>
      </c>
      <c r="R205" s="0" t="n">
        <v>168</v>
      </c>
      <c r="S205" s="114" t="n">
        <v>1.3</v>
      </c>
      <c r="T205" s="114" t="n">
        <v>0.7</v>
      </c>
      <c r="U205" s="114" t="n">
        <v>1.2</v>
      </c>
      <c r="V205" s="114" t="n">
        <v>0</v>
      </c>
      <c r="W205" s="114" t="s">
        <v>1175</v>
      </c>
      <c r="X205" s="114" t="s">
        <v>58</v>
      </c>
      <c r="Y205" s="114" t="s">
        <v>58</v>
      </c>
      <c r="Z205" s="114" t="s">
        <v>58</v>
      </c>
      <c r="AA205" s="114" t="s">
        <v>1176</v>
      </c>
      <c r="AB205" s="114" t="s">
        <v>1177</v>
      </c>
      <c r="AC205" s="114" t="s">
        <v>1178</v>
      </c>
      <c r="AD205" s="114"/>
      <c r="AE205" s="114" t="s">
        <v>1179</v>
      </c>
      <c r="AF205" s="114" t="s">
        <v>1180</v>
      </c>
      <c r="AG205" s="0" t="s">
        <v>464</v>
      </c>
      <c r="AH205" s="0" t="s">
        <v>58</v>
      </c>
    </row>
    <row r="206" customFormat="false" ht="14.4" hidden="false" customHeight="false" outlineLevel="0" collapsed="false">
      <c r="A206" s="0" t="n">
        <v>405</v>
      </c>
      <c r="B206" s="0" t="s">
        <v>1181</v>
      </c>
      <c r="C206" s="0" t="s">
        <v>437</v>
      </c>
      <c r="D206" s="0" t="s">
        <v>438</v>
      </c>
      <c r="E206" s="0" t="s">
        <v>1123</v>
      </c>
      <c r="F206" s="0" t="n">
        <v>4189</v>
      </c>
      <c r="G206" s="0" t="s">
        <v>138</v>
      </c>
      <c r="H206" s="0" t="n">
        <v>185</v>
      </c>
      <c r="I206" s="0" t="n">
        <v>165</v>
      </c>
      <c r="J206" s="0" t="n">
        <v>0</v>
      </c>
      <c r="K206" s="0" t="n">
        <v>96</v>
      </c>
      <c r="L206" s="0" t="n">
        <v>321</v>
      </c>
      <c r="M206" s="0" t="n">
        <v>0</v>
      </c>
      <c r="N206" s="0" t="n">
        <v>9</v>
      </c>
      <c r="O206" s="0" t="n">
        <v>99</v>
      </c>
      <c r="P206" s="0" t="n">
        <v>32</v>
      </c>
      <c r="Q206" s="0" t="n">
        <v>48</v>
      </c>
      <c r="R206" s="0" t="n">
        <v>168</v>
      </c>
      <c r="S206" s="114" t="n">
        <v>1.3</v>
      </c>
      <c r="T206" s="114" t="n">
        <v>0.65</v>
      </c>
      <c r="U206" s="114" t="n">
        <v>1.3</v>
      </c>
      <c r="V206" s="114" t="n">
        <v>0</v>
      </c>
      <c r="W206" s="114" t="s">
        <v>1175</v>
      </c>
      <c r="X206" s="114" t="s">
        <v>58</v>
      </c>
      <c r="Y206" s="114" t="s">
        <v>58</v>
      </c>
      <c r="Z206" s="114" t="s">
        <v>58</v>
      </c>
      <c r="AA206" s="0" t="s">
        <v>1182</v>
      </c>
      <c r="AB206" s="0" t="s">
        <v>1183</v>
      </c>
      <c r="AC206" s="0" t="s">
        <v>1184</v>
      </c>
      <c r="AD206" s="0" t="s">
        <v>58</v>
      </c>
      <c r="AE206" s="0" t="s">
        <v>1185</v>
      </c>
      <c r="AF206" s="0" t="s">
        <v>1186</v>
      </c>
      <c r="AG206" s="0" t="s">
        <v>464</v>
      </c>
      <c r="AH206" s="0" t="s">
        <v>58</v>
      </c>
    </row>
    <row r="207" customFormat="false" ht="14.4" hidden="false" customHeight="false" outlineLevel="0" collapsed="false">
      <c r="A207" s="0" t="n">
        <v>408</v>
      </c>
      <c r="B207" s="0" t="s">
        <v>1187</v>
      </c>
      <c r="C207" s="0" t="s">
        <v>471</v>
      </c>
      <c r="D207" s="0" t="s">
        <v>438</v>
      </c>
      <c r="E207" s="0" t="s">
        <v>1123</v>
      </c>
      <c r="F207" s="0" t="n">
        <v>3608</v>
      </c>
      <c r="G207" s="0" t="s">
        <v>138</v>
      </c>
      <c r="H207" s="0" t="n">
        <v>179</v>
      </c>
      <c r="I207" s="0" t="n">
        <v>142</v>
      </c>
      <c r="J207" s="0" t="n">
        <v>153</v>
      </c>
      <c r="K207" s="0" t="n">
        <v>98</v>
      </c>
      <c r="L207" s="0" t="n">
        <v>377</v>
      </c>
      <c r="M207" s="0" t="n">
        <v>0</v>
      </c>
      <c r="N207" s="0" t="n">
        <v>9</v>
      </c>
      <c r="O207" s="0" t="n">
        <v>148</v>
      </c>
      <c r="P207" s="0" t="n">
        <v>32</v>
      </c>
      <c r="Q207" s="0" t="n">
        <v>58</v>
      </c>
      <c r="R207" s="0" t="n">
        <v>169</v>
      </c>
      <c r="S207" s="114" t="n">
        <v>1.35</v>
      </c>
      <c r="T207" s="114" t="n">
        <v>1.3</v>
      </c>
      <c r="U207" s="114" t="n">
        <v>1.35</v>
      </c>
      <c r="V207" s="114" t="n">
        <v>0</v>
      </c>
      <c r="W207" s="114" t="s">
        <v>1188</v>
      </c>
      <c r="X207" s="114" t="s">
        <v>58</v>
      </c>
      <c r="Y207" s="114" t="s">
        <v>58</v>
      </c>
      <c r="Z207" s="114" t="s">
        <v>58</v>
      </c>
      <c r="AA207" s="0" t="s">
        <v>1189</v>
      </c>
      <c r="AB207" s="0" t="s">
        <v>610</v>
      </c>
      <c r="AC207" s="0" t="s">
        <v>1190</v>
      </c>
      <c r="AD207" s="0" t="s">
        <v>58</v>
      </c>
      <c r="AE207" s="0" t="s">
        <v>1191</v>
      </c>
      <c r="AF207" s="0" t="s">
        <v>478</v>
      </c>
      <c r="AG207" s="0" t="s">
        <v>464</v>
      </c>
      <c r="AH207" s="0" t="s">
        <v>58</v>
      </c>
    </row>
    <row r="208" customFormat="false" ht="14.4" hidden="false" customHeight="false" outlineLevel="0" collapsed="false">
      <c r="A208" s="0" t="n">
        <v>31</v>
      </c>
      <c r="B208" s="0" t="s">
        <v>1192</v>
      </c>
      <c r="C208" s="0" t="s">
        <v>437</v>
      </c>
      <c r="D208" s="0" t="s">
        <v>472</v>
      </c>
      <c r="E208" s="0" t="s">
        <v>1123</v>
      </c>
      <c r="F208" s="0" t="n">
        <v>3470</v>
      </c>
      <c r="G208" s="0" t="s">
        <v>138</v>
      </c>
      <c r="H208" s="0" t="n">
        <v>181</v>
      </c>
      <c r="I208" s="0" t="n">
        <v>164</v>
      </c>
      <c r="J208" s="0" t="n">
        <v>0</v>
      </c>
      <c r="K208" s="0" t="n">
        <v>90</v>
      </c>
      <c r="L208" s="0" t="n">
        <v>307</v>
      </c>
      <c r="M208" s="0" t="n">
        <v>0</v>
      </c>
      <c r="N208" s="0" t="n">
        <v>9</v>
      </c>
      <c r="O208" s="0" t="n">
        <v>99</v>
      </c>
      <c r="P208" s="0" t="n">
        <v>32</v>
      </c>
      <c r="Q208" s="114" t="n">
        <v>55</v>
      </c>
      <c r="R208" s="114" t="n">
        <v>158</v>
      </c>
      <c r="S208" s="114" t="n">
        <v>1.35</v>
      </c>
      <c r="T208" s="114" t="n">
        <v>0.65</v>
      </c>
      <c r="U208" s="114" t="n">
        <v>1</v>
      </c>
      <c r="V208" s="114" t="n">
        <v>0</v>
      </c>
      <c r="W208" s="114" t="s">
        <v>1193</v>
      </c>
      <c r="X208" s="114" t="s">
        <v>58</v>
      </c>
      <c r="Y208" s="114" t="s">
        <v>58</v>
      </c>
      <c r="Z208" s="114" t="s">
        <v>58</v>
      </c>
      <c r="AA208" s="0" t="s">
        <v>1194</v>
      </c>
      <c r="AB208" s="0" t="s">
        <v>1195</v>
      </c>
      <c r="AC208" s="0" t="s">
        <v>58</v>
      </c>
      <c r="AD208" s="0" t="s">
        <v>58</v>
      </c>
      <c r="AE208" s="0" t="s">
        <v>1196</v>
      </c>
      <c r="AF208" s="0" t="s">
        <v>464</v>
      </c>
      <c r="AG208" s="0" t="s">
        <v>58</v>
      </c>
      <c r="AH208" s="0" t="s">
        <v>58</v>
      </c>
    </row>
    <row r="209" customFormat="false" ht="14.4" hidden="false" customHeight="false" outlineLevel="0" collapsed="false">
      <c r="B209" s="0" t="s">
        <v>1197</v>
      </c>
      <c r="C209" s="0" t="s">
        <v>1155</v>
      </c>
      <c r="D209" s="0" t="s">
        <v>430</v>
      </c>
      <c r="E209" s="0" t="s">
        <v>1123</v>
      </c>
      <c r="F209" s="0" t="n">
        <v>4352</v>
      </c>
      <c r="G209" s="0" t="s">
        <v>138</v>
      </c>
      <c r="H209" s="0" t="n">
        <v>195</v>
      </c>
      <c r="I209" s="0" t="n">
        <v>171</v>
      </c>
      <c r="J209" s="0" t="n">
        <v>0</v>
      </c>
      <c r="K209" s="0" t="n">
        <v>93</v>
      </c>
      <c r="L209" s="0" t="n">
        <v>333</v>
      </c>
      <c r="M209" s="0" t="n">
        <v>0</v>
      </c>
      <c r="N209" s="0" t="n">
        <v>11</v>
      </c>
      <c r="O209" s="0" t="n">
        <v>147</v>
      </c>
      <c r="P209" s="0" t="n">
        <v>33</v>
      </c>
      <c r="Q209" s="0" t="n">
        <v>68</v>
      </c>
      <c r="R209" s="0" t="n">
        <v>163</v>
      </c>
      <c r="S209" s="114" t="n">
        <v>1.3</v>
      </c>
      <c r="T209" s="114" t="n">
        <v>0.75</v>
      </c>
      <c r="U209" s="114" t="n">
        <v>1.2</v>
      </c>
      <c r="V209" s="114" t="n">
        <v>0</v>
      </c>
      <c r="W209" s="114" t="s">
        <v>1198</v>
      </c>
      <c r="X209" s="155" t="s">
        <v>1199</v>
      </c>
      <c r="Y209" s="114"/>
      <c r="Z209" s="114"/>
      <c r="AA209" s="114"/>
      <c r="AB209" s="114"/>
      <c r="AC209" s="114"/>
      <c r="AD209" s="114"/>
      <c r="AE209" s="114"/>
      <c r="AF209" s="114"/>
      <c r="AG209" s="114"/>
      <c r="AH209" s="114"/>
    </row>
    <row r="210" customFormat="false" ht="14.4" hidden="false" customHeight="false" outlineLevel="0" collapsed="false">
      <c r="A210" s="0" t="n">
        <v>37</v>
      </c>
      <c r="B210" s="0" t="s">
        <v>1200</v>
      </c>
      <c r="C210" s="0" t="s">
        <v>437</v>
      </c>
      <c r="D210" s="0" t="s">
        <v>438</v>
      </c>
      <c r="E210" s="0" t="s">
        <v>1123</v>
      </c>
      <c r="F210" s="0" t="n">
        <v>4307</v>
      </c>
      <c r="G210" s="0" t="s">
        <v>138</v>
      </c>
      <c r="H210" s="0" t="n">
        <v>189</v>
      </c>
      <c r="I210" s="0" t="n">
        <v>165</v>
      </c>
      <c r="J210" s="0" t="n">
        <v>0</v>
      </c>
      <c r="K210" s="0" t="n">
        <v>92</v>
      </c>
      <c r="L210" s="0" t="n">
        <v>323</v>
      </c>
      <c r="M210" s="0" t="n">
        <v>0</v>
      </c>
      <c r="N210" s="0" t="n">
        <v>10</v>
      </c>
      <c r="O210" s="0" t="n">
        <v>100</v>
      </c>
      <c r="P210" s="0" t="n">
        <v>32</v>
      </c>
      <c r="Q210" s="114" t="n">
        <v>71</v>
      </c>
      <c r="R210" s="114" t="n">
        <v>163</v>
      </c>
      <c r="S210" s="114" t="n">
        <v>1.3</v>
      </c>
      <c r="T210" s="114" t="n">
        <v>0.7</v>
      </c>
      <c r="U210" s="114" t="n">
        <v>1.2</v>
      </c>
      <c r="V210" s="114" t="n">
        <v>0</v>
      </c>
      <c r="W210" s="114" t="s">
        <v>1175</v>
      </c>
      <c r="X210" s="114" t="s">
        <v>58</v>
      </c>
      <c r="Y210" s="114" t="s">
        <v>58</v>
      </c>
      <c r="Z210" s="114" t="s">
        <v>58</v>
      </c>
      <c r="AA210" s="0" t="s">
        <v>1201</v>
      </c>
      <c r="AB210" s="0" t="s">
        <v>701</v>
      </c>
      <c r="AC210" s="0" t="s">
        <v>1202</v>
      </c>
      <c r="AD210" s="0" t="s">
        <v>58</v>
      </c>
      <c r="AE210" s="0" t="s">
        <v>1203</v>
      </c>
      <c r="AF210" s="0" t="s">
        <v>702</v>
      </c>
      <c r="AG210" s="0" t="s">
        <v>464</v>
      </c>
      <c r="AH210" s="0" t="s">
        <v>58</v>
      </c>
    </row>
    <row r="211" customFormat="false" ht="14.4" hidden="false" customHeight="false" outlineLevel="0" collapsed="false">
      <c r="A211" s="0" t="n">
        <v>420</v>
      </c>
      <c r="B211" s="0" t="s">
        <v>1204</v>
      </c>
      <c r="C211" s="0" t="s">
        <v>437</v>
      </c>
      <c r="D211" s="0" t="s">
        <v>443</v>
      </c>
      <c r="E211" s="0" t="s">
        <v>1123</v>
      </c>
      <c r="F211" s="0" t="n">
        <v>3837</v>
      </c>
      <c r="G211" s="0" t="s">
        <v>138</v>
      </c>
      <c r="H211" s="0" t="n">
        <v>189</v>
      </c>
      <c r="I211" s="0" t="n">
        <v>162</v>
      </c>
      <c r="J211" s="0" t="n">
        <v>0</v>
      </c>
      <c r="K211" s="0" t="n">
        <v>96</v>
      </c>
      <c r="L211" s="0" t="n">
        <v>323</v>
      </c>
      <c r="M211" s="0" t="n">
        <v>0</v>
      </c>
      <c r="N211" s="0" t="n">
        <v>10</v>
      </c>
      <c r="O211" s="0" t="n">
        <v>100</v>
      </c>
      <c r="P211" s="0" t="n">
        <v>32</v>
      </c>
      <c r="Q211" s="0" t="n">
        <v>71</v>
      </c>
      <c r="R211" s="0" t="n">
        <v>163</v>
      </c>
      <c r="S211" s="114" t="n">
        <v>1.3</v>
      </c>
      <c r="T211" s="114" t="n">
        <v>0.7</v>
      </c>
      <c r="U211" s="114" t="n">
        <v>1.2</v>
      </c>
      <c r="V211" s="114" t="n">
        <v>0</v>
      </c>
      <c r="W211" s="114" t="s">
        <v>1205</v>
      </c>
      <c r="X211" s="114" t="s">
        <v>1206</v>
      </c>
      <c r="Y211" s="114" t="s">
        <v>58</v>
      </c>
      <c r="Z211" s="114" t="s">
        <v>58</v>
      </c>
      <c r="AA211" s="114" t="s">
        <v>1207</v>
      </c>
      <c r="AB211" s="114" t="s">
        <v>1208</v>
      </c>
      <c r="AC211" s="0" t="s">
        <v>1209</v>
      </c>
      <c r="AD211" s="114" t="s">
        <v>58</v>
      </c>
      <c r="AE211" s="114" t="s">
        <v>1210</v>
      </c>
      <c r="AF211" s="114" t="s">
        <v>1211</v>
      </c>
      <c r="AG211" s="114" t="s">
        <v>464</v>
      </c>
      <c r="AH211" s="114" t="s">
        <v>58</v>
      </c>
    </row>
    <row r="212" customFormat="false" ht="14.4" hidden="false" customHeight="false" outlineLevel="0" collapsed="false">
      <c r="A212" s="0" t="n">
        <v>38</v>
      </c>
      <c r="B212" s="0" t="s">
        <v>1212</v>
      </c>
      <c r="C212" s="0" t="s">
        <v>437</v>
      </c>
      <c r="D212" s="0" t="s">
        <v>438</v>
      </c>
      <c r="E212" s="0" t="s">
        <v>1123</v>
      </c>
      <c r="F212" s="0" t="n">
        <v>4307</v>
      </c>
      <c r="G212" s="0" t="s">
        <v>138</v>
      </c>
      <c r="H212" s="0" t="n">
        <v>187</v>
      </c>
      <c r="I212" s="0" t="n">
        <v>168</v>
      </c>
      <c r="J212" s="0" t="n">
        <v>0</v>
      </c>
      <c r="K212" s="0" t="n">
        <v>92</v>
      </c>
      <c r="L212" s="0" t="n">
        <v>323</v>
      </c>
      <c r="M212" s="0" t="n">
        <v>0</v>
      </c>
      <c r="N212" s="0" t="n">
        <v>10</v>
      </c>
      <c r="O212" s="0" t="n">
        <v>100</v>
      </c>
      <c r="P212" s="0" t="n">
        <v>32</v>
      </c>
      <c r="Q212" s="114" t="n">
        <v>70</v>
      </c>
      <c r="R212" s="114" t="n">
        <v>163</v>
      </c>
      <c r="S212" s="114" t="n">
        <v>1.3</v>
      </c>
      <c r="T212" s="114" t="n">
        <v>0.7</v>
      </c>
      <c r="U212" s="114" t="n">
        <v>1.2</v>
      </c>
      <c r="V212" s="114" t="n">
        <v>0</v>
      </c>
      <c r="W212" s="114" t="s">
        <v>1175</v>
      </c>
      <c r="X212" s="114" t="s">
        <v>58</v>
      </c>
      <c r="Y212" s="114" t="s">
        <v>58</v>
      </c>
      <c r="Z212" s="114" t="s">
        <v>58</v>
      </c>
      <c r="AA212" s="0" t="s">
        <v>698</v>
      </c>
      <c r="AB212" s="0" t="s">
        <v>701</v>
      </c>
      <c r="AC212" s="0" t="s">
        <v>1213</v>
      </c>
      <c r="AD212" s="0" t="s">
        <v>58</v>
      </c>
      <c r="AE212" s="0" t="s">
        <v>480</v>
      </c>
      <c r="AF212" s="0" t="s">
        <v>702</v>
      </c>
      <c r="AG212" s="0" t="s">
        <v>464</v>
      </c>
      <c r="AH212" s="0" t="s">
        <v>58</v>
      </c>
    </row>
    <row r="213" customFormat="false" ht="14.4" hidden="false" customHeight="false" outlineLevel="0" collapsed="false">
      <c r="A213" s="0" t="n">
        <v>366</v>
      </c>
      <c r="B213" s="0" t="s">
        <v>1214</v>
      </c>
      <c r="C213" s="0" t="s">
        <v>437</v>
      </c>
      <c r="D213" s="0" t="s">
        <v>472</v>
      </c>
      <c r="E213" s="0" t="s">
        <v>1123</v>
      </c>
      <c r="F213" s="0" t="n">
        <v>3301</v>
      </c>
      <c r="G213" s="0" t="s">
        <v>138</v>
      </c>
      <c r="H213" s="0" t="n">
        <v>185</v>
      </c>
      <c r="I213" s="0" t="n">
        <v>146</v>
      </c>
      <c r="J213" s="0" t="n">
        <v>215</v>
      </c>
      <c r="K213" s="0" t="n">
        <v>101</v>
      </c>
      <c r="L213" s="0" t="n">
        <v>295</v>
      </c>
      <c r="M213" s="0" t="n">
        <v>0</v>
      </c>
      <c r="N213" s="0" t="n">
        <v>9</v>
      </c>
      <c r="O213" s="0" t="n">
        <v>82</v>
      </c>
      <c r="P213" s="0" t="n">
        <v>35</v>
      </c>
      <c r="Q213" s="114" t="n">
        <v>67</v>
      </c>
      <c r="R213" s="114" t="n">
        <v>151</v>
      </c>
      <c r="S213" s="114" t="n">
        <v>1.25</v>
      </c>
      <c r="T213" s="114" t="n">
        <v>1.5</v>
      </c>
      <c r="U213" s="114" t="n">
        <v>1.3</v>
      </c>
      <c r="V213" s="114" t="n">
        <v>0</v>
      </c>
      <c r="W213" s="114" t="s">
        <v>1215</v>
      </c>
      <c r="X213" s="114" t="s">
        <v>58</v>
      </c>
      <c r="Y213" s="114" t="s">
        <v>58</v>
      </c>
      <c r="Z213" s="114" t="s">
        <v>58</v>
      </c>
      <c r="AA213" s="0" t="s">
        <v>1216</v>
      </c>
      <c r="AB213" s="0" t="s">
        <v>1217</v>
      </c>
      <c r="AC213" s="0" t="s">
        <v>58</v>
      </c>
      <c r="AD213" s="0" t="s">
        <v>58</v>
      </c>
      <c r="AE213" s="0" t="s">
        <v>531</v>
      </c>
      <c r="AF213" s="0" t="s">
        <v>464</v>
      </c>
      <c r="AG213" s="0" t="s">
        <v>58</v>
      </c>
      <c r="AH213" s="0" t="s">
        <v>58</v>
      </c>
    </row>
    <row r="214" customFormat="false" ht="14.4" hidden="false" customHeight="false" outlineLevel="0" collapsed="false">
      <c r="A214" s="0" t="n">
        <v>372</v>
      </c>
      <c r="B214" s="0" t="s">
        <v>1218</v>
      </c>
      <c r="C214" s="0" t="s">
        <v>471</v>
      </c>
      <c r="D214" s="0" t="s">
        <v>472</v>
      </c>
      <c r="E214" s="0" t="s">
        <v>1123</v>
      </c>
      <c r="F214" s="0" t="n">
        <v>2981</v>
      </c>
      <c r="G214" s="0" t="s">
        <v>138</v>
      </c>
      <c r="H214" s="0" t="n">
        <v>182</v>
      </c>
      <c r="I214" s="0" t="n">
        <v>134</v>
      </c>
      <c r="J214" s="0" t="n">
        <v>0</v>
      </c>
      <c r="K214" s="0" t="n">
        <v>92</v>
      </c>
      <c r="L214" s="0" t="n">
        <v>154</v>
      </c>
      <c r="M214" s="0" t="n">
        <v>0</v>
      </c>
      <c r="N214" s="0" t="n">
        <v>9</v>
      </c>
      <c r="O214" s="0" t="n">
        <v>53</v>
      </c>
      <c r="P214" s="0" t="n">
        <v>29</v>
      </c>
      <c r="Q214" s="114" t="n">
        <v>24</v>
      </c>
      <c r="R214" s="114" t="n">
        <v>168</v>
      </c>
      <c r="S214" s="114" t="n">
        <v>1.15</v>
      </c>
      <c r="T214" s="114" t="n">
        <v>0</v>
      </c>
      <c r="U214" s="114" t="n">
        <v>0.8</v>
      </c>
      <c r="V214" s="114" t="n">
        <v>0.8</v>
      </c>
      <c r="W214" s="0" t="s">
        <v>1219</v>
      </c>
      <c r="X214" s="114" t="s">
        <v>58</v>
      </c>
      <c r="Y214" s="114" t="s">
        <v>58</v>
      </c>
      <c r="Z214" s="114" t="s">
        <v>58</v>
      </c>
      <c r="AA214" s="0" t="s">
        <v>719</v>
      </c>
      <c r="AB214" s="0" t="s">
        <v>1220</v>
      </c>
      <c r="AC214" s="0" t="s">
        <v>58</v>
      </c>
      <c r="AD214" s="0" t="s">
        <v>58</v>
      </c>
      <c r="AE214" s="0" t="s">
        <v>708</v>
      </c>
      <c r="AF214" s="0" t="s">
        <v>464</v>
      </c>
      <c r="AG214" s="0" t="s">
        <v>58</v>
      </c>
      <c r="AH214" s="0" t="s">
        <v>58</v>
      </c>
    </row>
    <row r="215" customFormat="false" ht="14.4" hidden="false" customHeight="false" outlineLevel="0" collapsed="false">
      <c r="A215" s="0" t="n">
        <v>3372</v>
      </c>
      <c r="B215" s="0" t="s">
        <v>1221</v>
      </c>
      <c r="C215" s="0" t="s">
        <v>471</v>
      </c>
      <c r="D215" s="0" t="s">
        <v>438</v>
      </c>
      <c r="E215" s="0" t="s">
        <v>1123</v>
      </c>
      <c r="F215" s="0" t="n">
        <v>3221</v>
      </c>
      <c r="G215" s="0" t="s">
        <v>138</v>
      </c>
      <c r="H215" s="0" t="n">
        <v>182</v>
      </c>
      <c r="I215" s="0" t="n">
        <v>174</v>
      </c>
      <c r="J215" s="0" t="n">
        <v>0</v>
      </c>
      <c r="K215" s="0" t="n">
        <v>92</v>
      </c>
      <c r="L215" s="0" t="n">
        <v>199</v>
      </c>
      <c r="M215" s="0" t="n">
        <v>0</v>
      </c>
      <c r="N215" s="0" t="n">
        <v>9</v>
      </c>
      <c r="O215" s="0" t="n">
        <v>53</v>
      </c>
      <c r="P215" s="0" t="n">
        <v>29</v>
      </c>
      <c r="Q215" s="0" t="n">
        <v>24</v>
      </c>
      <c r="R215" s="0" t="n">
        <v>173</v>
      </c>
      <c r="S215" s="114" t="n">
        <v>1.2</v>
      </c>
      <c r="T215" s="114" t="n">
        <v>0</v>
      </c>
      <c r="U215" s="114" t="n">
        <v>0.9</v>
      </c>
      <c r="V215" s="114" t="n">
        <v>0.9</v>
      </c>
      <c r="W215" s="0" t="s">
        <v>1219</v>
      </c>
      <c r="X215" s="114" t="s">
        <v>58</v>
      </c>
      <c r="Y215" s="114" t="s">
        <v>58</v>
      </c>
      <c r="Z215" s="114" t="s">
        <v>58</v>
      </c>
      <c r="AA215" s="0" t="s">
        <v>719</v>
      </c>
      <c r="AB215" s="0" t="s">
        <v>1220</v>
      </c>
      <c r="AD215" s="0" t="s">
        <v>58</v>
      </c>
      <c r="AE215" s="0" t="s">
        <v>708</v>
      </c>
      <c r="AF215" s="0" t="s">
        <v>1222</v>
      </c>
      <c r="AG215" s="0" t="s">
        <v>464</v>
      </c>
      <c r="AH215" s="0" t="s">
        <v>58</v>
      </c>
    </row>
    <row r="216" customFormat="false" ht="14.4" hidden="false" customHeight="false" outlineLevel="0" collapsed="false">
      <c r="A216" s="0" t="n">
        <v>373</v>
      </c>
      <c r="B216" s="0" t="s">
        <v>1223</v>
      </c>
      <c r="C216" s="0" t="s">
        <v>471</v>
      </c>
      <c r="D216" s="0" t="s">
        <v>472</v>
      </c>
      <c r="E216" s="0" t="s">
        <v>1123</v>
      </c>
      <c r="F216" s="0" t="n">
        <v>2789</v>
      </c>
      <c r="G216" s="0" t="s">
        <v>138</v>
      </c>
      <c r="H216" s="0" t="n">
        <v>190</v>
      </c>
      <c r="I216" s="0" t="n">
        <v>128</v>
      </c>
      <c r="J216" s="0" t="n">
        <v>0</v>
      </c>
      <c r="K216" s="0" t="n">
        <v>92</v>
      </c>
      <c r="L216" s="0" t="n">
        <v>178</v>
      </c>
      <c r="M216" s="0" t="n">
        <v>0</v>
      </c>
      <c r="N216" s="0" t="n">
        <v>9</v>
      </c>
      <c r="O216" s="0" t="n">
        <v>53</v>
      </c>
      <c r="P216" s="0" t="n">
        <v>29</v>
      </c>
      <c r="Q216" s="114" t="n">
        <v>45</v>
      </c>
      <c r="R216" s="114" t="n">
        <v>166</v>
      </c>
      <c r="S216" s="114" t="n">
        <v>1.15</v>
      </c>
      <c r="T216" s="114" t="n">
        <v>0</v>
      </c>
      <c r="U216" s="114" t="n">
        <v>0.8</v>
      </c>
      <c r="V216" s="114" t="n">
        <v>0.8</v>
      </c>
      <c r="W216" s="0" t="s">
        <v>1219</v>
      </c>
      <c r="X216" s="114" t="s">
        <v>58</v>
      </c>
      <c r="Y216" s="114" t="s">
        <v>58</v>
      </c>
      <c r="Z216" s="114" t="s">
        <v>58</v>
      </c>
      <c r="AA216" s="0" t="s">
        <v>719</v>
      </c>
      <c r="AB216" s="0" t="s">
        <v>1224</v>
      </c>
      <c r="AC216" s="0" t="s">
        <v>58</v>
      </c>
      <c r="AD216" s="0" t="s">
        <v>58</v>
      </c>
      <c r="AE216" s="0" t="s">
        <v>708</v>
      </c>
      <c r="AF216" s="0" t="s">
        <v>464</v>
      </c>
      <c r="AG216" s="0" t="s">
        <v>58</v>
      </c>
      <c r="AH216" s="0" t="s">
        <v>58</v>
      </c>
    </row>
    <row r="217" customFormat="false" ht="14.4" hidden="false" customHeight="false" outlineLevel="0" collapsed="false">
      <c r="A217" s="0" t="n">
        <v>3373</v>
      </c>
      <c r="B217" s="0" t="s">
        <v>1225</v>
      </c>
      <c r="C217" s="0" t="s">
        <v>471</v>
      </c>
      <c r="D217" s="0" t="s">
        <v>438</v>
      </c>
      <c r="E217" s="0" t="s">
        <v>1123</v>
      </c>
      <c r="F217" s="0" t="n">
        <v>3029</v>
      </c>
      <c r="G217" s="0" t="s">
        <v>138</v>
      </c>
      <c r="H217" s="0" t="n">
        <v>190</v>
      </c>
      <c r="I217" s="0" t="n">
        <v>168</v>
      </c>
      <c r="J217" s="0" t="n">
        <v>0</v>
      </c>
      <c r="K217" s="0" t="n">
        <v>92</v>
      </c>
      <c r="L217" s="0" t="n">
        <v>223</v>
      </c>
      <c r="M217" s="0" t="n">
        <v>0</v>
      </c>
      <c r="N217" s="0" t="n">
        <v>9</v>
      </c>
      <c r="O217" s="0" t="n">
        <v>53</v>
      </c>
      <c r="P217" s="0" t="n">
        <v>29</v>
      </c>
      <c r="Q217" s="0" t="n">
        <v>45</v>
      </c>
      <c r="R217" s="0" t="n">
        <v>171</v>
      </c>
      <c r="S217" s="114" t="n">
        <v>1.15</v>
      </c>
      <c r="T217" s="114" t="n">
        <v>0</v>
      </c>
      <c r="U217" s="114" t="n">
        <v>0.9</v>
      </c>
      <c r="V217" s="114" t="n">
        <v>0.9</v>
      </c>
      <c r="W217" s="0" t="s">
        <v>1219</v>
      </c>
      <c r="X217" s="114" t="s">
        <v>58</v>
      </c>
      <c r="Y217" s="114" t="s">
        <v>58</v>
      </c>
      <c r="Z217" s="114" t="s">
        <v>58</v>
      </c>
      <c r="AA217" s="0" t="s">
        <v>719</v>
      </c>
      <c r="AB217" s="0" t="s">
        <v>514</v>
      </c>
      <c r="AC217" s="0" t="s">
        <v>1224</v>
      </c>
      <c r="AD217" s="0" t="s">
        <v>58</v>
      </c>
      <c r="AE217" s="0" t="s">
        <v>708</v>
      </c>
      <c r="AF217" s="0" t="s">
        <v>515</v>
      </c>
      <c r="AG217" s="0" t="s">
        <v>464</v>
      </c>
      <c r="AH217" s="0" t="s">
        <v>58</v>
      </c>
    </row>
    <row r="218" customFormat="false" ht="14.4" hidden="false" customHeight="false" outlineLevel="0" collapsed="false">
      <c r="A218" s="0" t="n">
        <v>330</v>
      </c>
      <c r="B218" s="0" t="s">
        <v>1226</v>
      </c>
      <c r="C218" s="0" t="s">
        <v>437</v>
      </c>
      <c r="D218" s="0" t="s">
        <v>438</v>
      </c>
      <c r="E218" s="0" t="s">
        <v>1123</v>
      </c>
      <c r="F218" s="0" t="n">
        <v>4307</v>
      </c>
      <c r="G218" s="0" t="s">
        <v>138</v>
      </c>
      <c r="H218" s="0" t="n">
        <v>185</v>
      </c>
      <c r="I218" s="0" t="n">
        <v>157</v>
      </c>
      <c r="J218" s="0" t="n">
        <v>0</v>
      </c>
      <c r="K218" s="0" t="n">
        <v>92</v>
      </c>
      <c r="L218" s="0" t="n">
        <v>321</v>
      </c>
      <c r="M218" s="0" t="n">
        <v>0</v>
      </c>
      <c r="N218" s="0" t="n">
        <v>10</v>
      </c>
      <c r="O218" s="0" t="n">
        <v>100</v>
      </c>
      <c r="P218" s="0" t="n">
        <v>32</v>
      </c>
      <c r="Q218" s="114" t="n">
        <v>69</v>
      </c>
      <c r="R218" s="114" t="n">
        <v>161</v>
      </c>
      <c r="S218" s="114" t="n">
        <v>1.3</v>
      </c>
      <c r="T218" s="114" t="n">
        <v>0.75</v>
      </c>
      <c r="U218" s="114" t="n">
        <v>1.2</v>
      </c>
      <c r="V218" s="114" t="n">
        <v>0</v>
      </c>
      <c r="W218" s="114" t="s">
        <v>1175</v>
      </c>
      <c r="X218" s="114" t="s">
        <v>58</v>
      </c>
      <c r="Y218" s="114" t="s">
        <v>58</v>
      </c>
      <c r="Z218" s="114" t="s">
        <v>58</v>
      </c>
      <c r="AA218" s="0" t="s">
        <v>590</v>
      </c>
      <c r="AB218" s="0" t="s">
        <v>701</v>
      </c>
      <c r="AC218" s="0" t="s">
        <v>1227</v>
      </c>
      <c r="AD218" s="0" t="s">
        <v>58</v>
      </c>
      <c r="AE218" s="0" t="s">
        <v>592</v>
      </c>
      <c r="AF218" s="0" t="s">
        <v>702</v>
      </c>
      <c r="AG218" s="0" t="s">
        <v>464</v>
      </c>
      <c r="AH218" s="0" t="s">
        <v>58</v>
      </c>
    </row>
    <row r="219" customFormat="false" ht="15" hidden="false" customHeight="true" outlineLevel="0" collapsed="false">
      <c r="A219" s="0" t="n">
        <v>107</v>
      </c>
      <c r="B219" s="0" t="s">
        <v>1228</v>
      </c>
      <c r="C219" s="0" t="s">
        <v>471</v>
      </c>
      <c r="D219" s="0" t="s">
        <v>430</v>
      </c>
      <c r="E219" s="0" t="s">
        <v>1123</v>
      </c>
      <c r="F219" s="0" t="n">
        <v>3744</v>
      </c>
      <c r="G219" s="0" t="s">
        <v>138</v>
      </c>
      <c r="H219" s="0" t="n">
        <v>193</v>
      </c>
      <c r="I219" s="0" t="n">
        <v>157</v>
      </c>
      <c r="J219" s="0" t="n">
        <v>178</v>
      </c>
      <c r="K219" s="0" t="n">
        <v>97</v>
      </c>
      <c r="L219" s="0" t="n">
        <v>387</v>
      </c>
      <c r="M219" s="0" t="n">
        <v>0</v>
      </c>
      <c r="N219" s="0" t="n">
        <v>11</v>
      </c>
      <c r="O219" s="0" t="n">
        <v>168</v>
      </c>
      <c r="P219" s="0" t="n">
        <v>32</v>
      </c>
      <c r="Q219" s="0" t="n">
        <v>85</v>
      </c>
      <c r="R219" s="0" t="n">
        <v>160</v>
      </c>
      <c r="S219" s="114" t="n">
        <v>1.4</v>
      </c>
      <c r="T219" s="114" t="n">
        <v>1.3</v>
      </c>
      <c r="U219" s="114" t="n">
        <v>1.35</v>
      </c>
      <c r="V219" s="114" t="n">
        <v>0</v>
      </c>
      <c r="W219" s="0" t="s">
        <v>1229</v>
      </c>
      <c r="X219" s="0" t="s">
        <v>1230</v>
      </c>
      <c r="Y219" s="114" t="s">
        <v>58</v>
      </c>
      <c r="Z219" s="114" t="s">
        <v>58</v>
      </c>
      <c r="AA219" s="114" t="s">
        <v>1231</v>
      </c>
      <c r="AB219" s="114" t="s">
        <v>1232</v>
      </c>
      <c r="AC219" s="114" t="s">
        <v>1233</v>
      </c>
      <c r="AD219" s="0" t="s">
        <v>58</v>
      </c>
      <c r="AE219" s="114" t="s">
        <v>1234</v>
      </c>
      <c r="AF219" s="114" t="s">
        <v>1235</v>
      </c>
      <c r="AG219" s="114" t="s">
        <v>450</v>
      </c>
      <c r="AH219" s="0" t="s">
        <v>58</v>
      </c>
    </row>
    <row r="220" customFormat="false" ht="15" hidden="false" customHeight="true" outlineLevel="0" collapsed="false">
      <c r="A220" s="0" t="n">
        <v>114</v>
      </c>
      <c r="B220" s="0" t="s">
        <v>1236</v>
      </c>
      <c r="C220" s="0" t="s">
        <v>471</v>
      </c>
      <c r="D220" s="0" t="s">
        <v>438</v>
      </c>
      <c r="E220" s="0" t="s">
        <v>1123</v>
      </c>
      <c r="F220" s="0" t="n">
        <v>4486</v>
      </c>
      <c r="G220" s="0" t="s">
        <v>138</v>
      </c>
      <c r="H220" s="0" t="n">
        <v>176</v>
      </c>
      <c r="I220" s="0" t="n">
        <v>157</v>
      </c>
      <c r="J220" s="0" t="n">
        <v>280</v>
      </c>
      <c r="K220" s="0" t="n">
        <v>100</v>
      </c>
      <c r="L220" s="0" t="n">
        <v>313</v>
      </c>
      <c r="M220" s="0" t="n">
        <v>0</v>
      </c>
      <c r="N220" s="0" t="n">
        <v>10</v>
      </c>
      <c r="O220" s="0" t="n">
        <v>101</v>
      </c>
      <c r="P220" s="0" t="n">
        <v>32</v>
      </c>
      <c r="Q220" s="114" t="n">
        <v>37</v>
      </c>
      <c r="R220" s="114" t="n">
        <v>160</v>
      </c>
      <c r="S220" s="114" t="n">
        <v>1.5</v>
      </c>
      <c r="T220" s="114" t="n">
        <v>1.55</v>
      </c>
      <c r="U220" s="114" t="n">
        <v>1</v>
      </c>
      <c r="V220" s="114" t="n">
        <v>0</v>
      </c>
      <c r="W220" s="0" t="s">
        <v>1161</v>
      </c>
      <c r="X220" s="114" t="s">
        <v>58</v>
      </c>
      <c r="Y220" s="114" t="s">
        <v>58</v>
      </c>
      <c r="Z220" s="114" t="s">
        <v>58</v>
      </c>
      <c r="AA220" s="0" t="s">
        <v>1237</v>
      </c>
      <c r="AB220" s="0" t="s">
        <v>1238</v>
      </c>
      <c r="AC220" s="0" t="s">
        <v>58</v>
      </c>
      <c r="AD220" s="0" t="s">
        <v>58</v>
      </c>
      <c r="AE220" s="0" t="s">
        <v>1077</v>
      </c>
      <c r="AF220" s="0" t="s">
        <v>464</v>
      </c>
      <c r="AG220" s="0" t="s">
        <v>58</v>
      </c>
      <c r="AH220" s="0" t="s">
        <v>58</v>
      </c>
    </row>
    <row r="221" customFormat="false" ht="14.4" hidden="false" customHeight="false" outlineLevel="0" collapsed="false">
      <c r="A221" s="0" t="n">
        <v>349</v>
      </c>
      <c r="B221" s="0" t="s">
        <v>1239</v>
      </c>
      <c r="C221" s="0" t="s">
        <v>639</v>
      </c>
      <c r="D221" s="0" t="s">
        <v>438</v>
      </c>
      <c r="E221" s="0" t="s">
        <v>1123</v>
      </c>
      <c r="F221" s="0" t="n">
        <v>3185</v>
      </c>
      <c r="G221" s="0" t="s">
        <v>138</v>
      </c>
      <c r="H221" s="0" t="n">
        <v>173</v>
      </c>
      <c r="I221" s="0" t="n">
        <v>161</v>
      </c>
      <c r="J221" s="0" t="n">
        <v>273</v>
      </c>
      <c r="K221" s="0" t="n">
        <v>117</v>
      </c>
      <c r="L221" s="0" t="n">
        <v>272</v>
      </c>
      <c r="M221" s="0" t="n">
        <v>0</v>
      </c>
      <c r="N221" s="0" t="n">
        <v>10</v>
      </c>
      <c r="O221" s="0" t="n">
        <v>144</v>
      </c>
      <c r="P221" s="0" t="n">
        <v>34</v>
      </c>
      <c r="Q221" s="114" t="n">
        <v>67</v>
      </c>
      <c r="R221" s="114" t="n">
        <v>170</v>
      </c>
      <c r="S221" s="114" t="n">
        <v>1.4</v>
      </c>
      <c r="T221" s="114" t="n">
        <v>1.55</v>
      </c>
      <c r="U221" s="114" t="n">
        <v>1</v>
      </c>
      <c r="V221" s="114" t="n">
        <v>0</v>
      </c>
      <c r="W221" s="0" t="s">
        <v>1240</v>
      </c>
      <c r="X221" s="114" t="s">
        <v>58</v>
      </c>
      <c r="Y221" s="114" t="s">
        <v>58</v>
      </c>
      <c r="Z221" s="114" t="s">
        <v>58</v>
      </c>
      <c r="AA221" s="0" t="s">
        <v>1241</v>
      </c>
      <c r="AB221" s="0" t="s">
        <v>1242</v>
      </c>
      <c r="AC221" s="0" t="s">
        <v>1243</v>
      </c>
      <c r="AD221" s="0" t="s">
        <v>58</v>
      </c>
      <c r="AE221" s="0" t="s">
        <v>1244</v>
      </c>
      <c r="AF221" s="0" t="s">
        <v>1245</v>
      </c>
      <c r="AG221" s="0" t="s">
        <v>464</v>
      </c>
      <c r="AH221" s="0" t="s">
        <v>58</v>
      </c>
    </row>
    <row r="222" customFormat="false" ht="14.4" hidden="false" customHeight="false" outlineLevel="0" collapsed="false">
      <c r="A222" s="0" t="n">
        <v>3349</v>
      </c>
      <c r="B222" s="0" t="s">
        <v>1246</v>
      </c>
      <c r="C222" s="0" t="s">
        <v>639</v>
      </c>
      <c r="D222" s="0" t="s">
        <v>430</v>
      </c>
      <c r="E222" s="0" t="s">
        <v>1123</v>
      </c>
      <c r="F222" s="0" t="n">
        <v>3425</v>
      </c>
      <c r="G222" s="0" t="s">
        <v>138</v>
      </c>
      <c r="H222" s="0" t="n">
        <v>178</v>
      </c>
      <c r="I222" s="0" t="n">
        <v>191</v>
      </c>
      <c r="J222" s="0" t="n">
        <v>298</v>
      </c>
      <c r="K222" s="0" t="n">
        <v>117</v>
      </c>
      <c r="L222" s="0" t="n">
        <v>327</v>
      </c>
      <c r="M222" s="0" t="n">
        <v>0</v>
      </c>
      <c r="N222" s="0" t="n">
        <v>9</v>
      </c>
      <c r="O222" s="0" t="n">
        <v>144</v>
      </c>
      <c r="P222" s="0" t="n">
        <v>34</v>
      </c>
      <c r="Q222" s="114" t="n">
        <v>67</v>
      </c>
      <c r="R222" s="114" t="n">
        <v>175</v>
      </c>
      <c r="S222" s="114" t="n">
        <v>1.45</v>
      </c>
      <c r="T222" s="114" t="n">
        <v>1.55</v>
      </c>
      <c r="U222" s="114" t="n">
        <v>1.15</v>
      </c>
      <c r="V222" s="114" t="n">
        <v>0</v>
      </c>
      <c r="W222" s="0" t="s">
        <v>1240</v>
      </c>
      <c r="X222" s="0" t="s">
        <v>1247</v>
      </c>
      <c r="Y222" s="0" t="s">
        <v>1248</v>
      </c>
      <c r="Z222" s="114" t="s">
        <v>58</v>
      </c>
      <c r="AA222" s="0" t="s">
        <v>1241</v>
      </c>
      <c r="AB222" s="0" t="s">
        <v>1242</v>
      </c>
      <c r="AC222" s="0" t="s">
        <v>1249</v>
      </c>
      <c r="AD222" s="0" t="s">
        <v>1243</v>
      </c>
      <c r="AE222" s="0" t="s">
        <v>1244</v>
      </c>
      <c r="AF222" s="0" t="s">
        <v>1245</v>
      </c>
      <c r="AG222" s="0" t="s">
        <v>1250</v>
      </c>
      <c r="AH222" s="0" t="s">
        <v>464</v>
      </c>
    </row>
    <row r="223" customFormat="false" ht="14.4" hidden="false" customHeight="false" outlineLevel="0" collapsed="false">
      <c r="A223" s="0" t="n">
        <v>327</v>
      </c>
      <c r="B223" s="0" t="s">
        <v>1251</v>
      </c>
      <c r="C223" s="0" t="s">
        <v>471</v>
      </c>
      <c r="D223" s="0" t="s">
        <v>472</v>
      </c>
      <c r="E223" s="0" t="s">
        <v>1123</v>
      </c>
      <c r="F223" s="0" t="n">
        <v>3586</v>
      </c>
      <c r="G223" s="0" t="s">
        <v>138</v>
      </c>
      <c r="H223" s="0" t="n">
        <v>182</v>
      </c>
      <c r="I223" s="0" t="n">
        <v>159</v>
      </c>
      <c r="J223" s="0" t="n">
        <v>268</v>
      </c>
      <c r="K223" s="0" t="n">
        <v>100</v>
      </c>
      <c r="L223" s="0" t="n">
        <v>255</v>
      </c>
      <c r="M223" s="0" t="n">
        <v>0</v>
      </c>
      <c r="N223" s="0" t="n">
        <v>9</v>
      </c>
      <c r="O223" s="0" t="n">
        <v>117</v>
      </c>
      <c r="P223" s="0" t="n">
        <v>32</v>
      </c>
      <c r="Q223" s="114" t="n">
        <v>11</v>
      </c>
      <c r="R223" s="114" t="n">
        <v>172</v>
      </c>
      <c r="S223" s="114" t="n">
        <v>1.4</v>
      </c>
      <c r="T223" s="114" t="n">
        <v>1.55</v>
      </c>
      <c r="U223" s="114" t="n">
        <v>1.1</v>
      </c>
      <c r="V223" s="114" t="n">
        <v>0</v>
      </c>
      <c r="W223" s="0" t="s">
        <v>1252</v>
      </c>
      <c r="X223" s="114" t="s">
        <v>58</v>
      </c>
      <c r="Y223" s="114" t="s">
        <v>58</v>
      </c>
      <c r="Z223" s="114" t="s">
        <v>58</v>
      </c>
      <c r="AA223" s="0" t="s">
        <v>1253</v>
      </c>
      <c r="AB223" s="0" t="s">
        <v>1254</v>
      </c>
      <c r="AC223" s="0" t="s">
        <v>58</v>
      </c>
      <c r="AD223" s="0" t="s">
        <v>58</v>
      </c>
      <c r="AE223" s="0" t="s">
        <v>1255</v>
      </c>
      <c r="AF223" s="0" t="s">
        <v>464</v>
      </c>
      <c r="AG223" s="0" t="s">
        <v>58</v>
      </c>
      <c r="AH223" s="0" t="s">
        <v>58</v>
      </c>
    </row>
    <row r="224" customFormat="false" ht="14.4" hidden="false" customHeight="false" outlineLevel="0" collapsed="false">
      <c r="A224" s="0" t="n">
        <v>117</v>
      </c>
      <c r="B224" s="0" t="s">
        <v>1256</v>
      </c>
      <c r="C224" s="0" t="s">
        <v>471</v>
      </c>
      <c r="D224" s="0" t="s">
        <v>472</v>
      </c>
      <c r="E224" s="0" t="s">
        <v>1123</v>
      </c>
      <c r="F224" s="0" t="n">
        <v>2830</v>
      </c>
      <c r="G224" s="0" t="s">
        <v>138</v>
      </c>
      <c r="H224" s="0" t="n">
        <v>187</v>
      </c>
      <c r="I224" s="0" t="n">
        <v>156</v>
      </c>
      <c r="J224" s="0" t="n">
        <v>270</v>
      </c>
      <c r="K224" s="0" t="n">
        <v>100</v>
      </c>
      <c r="L224" s="0" t="n">
        <v>324</v>
      </c>
      <c r="M224" s="0" t="n">
        <v>0</v>
      </c>
      <c r="N224" s="0" t="n">
        <v>9</v>
      </c>
      <c r="O224" s="0" t="n">
        <v>92</v>
      </c>
      <c r="P224" s="0" t="n">
        <v>32</v>
      </c>
      <c r="Q224" s="114" t="n">
        <v>26</v>
      </c>
      <c r="R224" s="114" t="n">
        <v>170</v>
      </c>
      <c r="S224" s="114" t="n">
        <v>1.3</v>
      </c>
      <c r="T224" s="114" t="n">
        <v>1.55</v>
      </c>
      <c r="U224" s="114" t="n">
        <v>1.3</v>
      </c>
      <c r="V224" s="114" t="n">
        <v>0</v>
      </c>
      <c r="W224" s="0" t="s">
        <v>1140</v>
      </c>
      <c r="X224" s="114" t="s">
        <v>58</v>
      </c>
      <c r="Y224" s="114" t="s">
        <v>58</v>
      </c>
      <c r="Z224" s="114" t="s">
        <v>58</v>
      </c>
      <c r="AA224" s="0" t="s">
        <v>590</v>
      </c>
      <c r="AB224" s="0" t="s">
        <v>1151</v>
      </c>
      <c r="AC224" s="0" t="s">
        <v>58</v>
      </c>
      <c r="AD224" s="0" t="s">
        <v>58</v>
      </c>
      <c r="AE224" s="0" t="s">
        <v>592</v>
      </c>
      <c r="AF224" s="0" t="s">
        <v>464</v>
      </c>
      <c r="AG224" s="0" t="s">
        <v>58</v>
      </c>
      <c r="AH224" s="0" t="s">
        <v>58</v>
      </c>
    </row>
    <row r="225" customFormat="false" ht="14.4" hidden="false" customHeight="false" outlineLevel="0" collapsed="false">
      <c r="A225" s="0" t="n">
        <v>423</v>
      </c>
      <c r="B225" s="0" t="s">
        <v>1257</v>
      </c>
      <c r="C225" s="0" t="s">
        <v>471</v>
      </c>
      <c r="D225" s="0" t="s">
        <v>472</v>
      </c>
      <c r="E225" s="0" t="s">
        <v>1123</v>
      </c>
      <c r="F225" s="0" t="n">
        <v>3688</v>
      </c>
      <c r="G225" s="0" t="s">
        <v>138</v>
      </c>
      <c r="H225" s="0" t="n">
        <v>171</v>
      </c>
      <c r="I225" s="0" t="n">
        <v>151</v>
      </c>
      <c r="J225" s="0" t="n">
        <v>273</v>
      </c>
      <c r="K225" s="0" t="n">
        <v>100</v>
      </c>
      <c r="L225" s="0" t="n">
        <v>344</v>
      </c>
      <c r="M225" s="0" t="n">
        <v>0</v>
      </c>
      <c r="N225" s="0" t="n">
        <v>9</v>
      </c>
      <c r="O225" s="0" t="n">
        <v>99</v>
      </c>
      <c r="P225" s="0" t="n">
        <v>32</v>
      </c>
      <c r="Q225" s="0" t="n">
        <v>81</v>
      </c>
      <c r="R225" s="0" t="n">
        <v>157</v>
      </c>
      <c r="S225" s="114" t="n">
        <v>1.35</v>
      </c>
      <c r="T225" s="114" t="n">
        <v>1.3</v>
      </c>
      <c r="U225" s="114" t="n">
        <v>1.35</v>
      </c>
      <c r="V225" s="114" t="n">
        <v>0</v>
      </c>
      <c r="W225" s="114" t="s">
        <v>1258</v>
      </c>
      <c r="X225" s="114" t="s">
        <v>58</v>
      </c>
      <c r="Y225" s="114" t="s">
        <v>58</v>
      </c>
      <c r="Z225" s="114" t="s">
        <v>58</v>
      </c>
      <c r="AA225" s="114" t="s">
        <v>590</v>
      </c>
      <c r="AB225" s="114" t="s">
        <v>1259</v>
      </c>
      <c r="AC225" s="114" t="s">
        <v>1260</v>
      </c>
      <c r="AD225" s="0" t="s">
        <v>58</v>
      </c>
      <c r="AE225" s="114" t="s">
        <v>592</v>
      </c>
      <c r="AF225" s="114" t="s">
        <v>1261</v>
      </c>
      <c r="AG225" s="114" t="s">
        <v>464</v>
      </c>
      <c r="AH225" s="114" t="s">
        <v>58</v>
      </c>
    </row>
    <row r="226" customFormat="false" ht="14.4" hidden="false" customHeight="false" outlineLevel="0" collapsed="false">
      <c r="A226" s="0" t="n">
        <v>113</v>
      </c>
      <c r="B226" s="0" t="s">
        <v>1262</v>
      </c>
      <c r="C226" s="0" t="s">
        <v>471</v>
      </c>
      <c r="D226" s="0" t="s">
        <v>443</v>
      </c>
      <c r="E226" s="0" t="s">
        <v>1123</v>
      </c>
      <c r="F226" s="0" t="n">
        <v>3789</v>
      </c>
      <c r="G226" s="0" t="s">
        <v>138</v>
      </c>
      <c r="H226" s="0" t="n">
        <v>176</v>
      </c>
      <c r="I226" s="0" t="n">
        <v>156</v>
      </c>
      <c r="J226" s="0" t="n">
        <v>280</v>
      </c>
      <c r="K226" s="0" t="n">
        <v>100</v>
      </c>
      <c r="L226" s="0" t="n">
        <v>317</v>
      </c>
      <c r="M226" s="0" t="n">
        <v>0</v>
      </c>
      <c r="N226" s="0" t="n">
        <v>10</v>
      </c>
      <c r="O226" s="0" t="n">
        <v>141</v>
      </c>
      <c r="P226" s="0" t="n">
        <v>32</v>
      </c>
      <c r="Q226" s="0" t="n">
        <v>45</v>
      </c>
      <c r="R226" s="0" t="n">
        <v>157</v>
      </c>
      <c r="S226" s="114" t="n">
        <v>1.5</v>
      </c>
      <c r="T226" s="114" t="n">
        <v>1.5</v>
      </c>
      <c r="U226" s="114" t="n">
        <v>1.1</v>
      </c>
      <c r="V226" s="114" t="n">
        <v>0</v>
      </c>
      <c r="W226" s="114" t="s">
        <v>1263</v>
      </c>
      <c r="X226" s="114" t="s">
        <v>58</v>
      </c>
      <c r="Y226" s="114" t="s">
        <v>58</v>
      </c>
      <c r="Z226" s="114" t="s">
        <v>58</v>
      </c>
      <c r="AA226" s="114" t="s">
        <v>1264</v>
      </c>
      <c r="AB226" s="114" t="s">
        <v>1265</v>
      </c>
      <c r="AC226" s="114" t="s">
        <v>1266</v>
      </c>
      <c r="AD226" s="0" t="s">
        <v>58</v>
      </c>
      <c r="AE226" s="114" t="s">
        <v>1267</v>
      </c>
      <c r="AF226" s="114" t="s">
        <v>1268</v>
      </c>
      <c r="AG226" s="114" t="s">
        <v>464</v>
      </c>
      <c r="AH226" s="114" t="s">
        <v>58</v>
      </c>
    </row>
    <row r="227" customFormat="false" ht="14.4" hidden="false" customHeight="false" outlineLevel="0" collapsed="false">
      <c r="A227" s="0" t="n">
        <v>33</v>
      </c>
      <c r="B227" s="0" t="s">
        <v>1269</v>
      </c>
      <c r="C227" s="0" t="s">
        <v>437</v>
      </c>
      <c r="D227" s="0" t="s">
        <v>438</v>
      </c>
      <c r="E227" s="0" t="s">
        <v>1123</v>
      </c>
      <c r="F227" s="0" t="n">
        <v>3604</v>
      </c>
      <c r="G227" s="0" t="s">
        <v>138</v>
      </c>
      <c r="H227" s="0" t="n">
        <v>185</v>
      </c>
      <c r="I227" s="0" t="n">
        <v>171</v>
      </c>
      <c r="J227" s="0" t="n">
        <v>0</v>
      </c>
      <c r="K227" s="0" t="n">
        <v>90</v>
      </c>
      <c r="L227" s="0" t="n">
        <v>316</v>
      </c>
      <c r="M227" s="0" t="n">
        <v>0</v>
      </c>
      <c r="N227" s="0" t="n">
        <v>10</v>
      </c>
      <c r="O227" s="0" t="n">
        <v>109</v>
      </c>
      <c r="P227" s="0" t="n">
        <v>32</v>
      </c>
      <c r="Q227" s="114" t="n">
        <v>33</v>
      </c>
      <c r="R227" s="114" t="n">
        <v>175</v>
      </c>
      <c r="S227" s="114" t="n">
        <v>1.35</v>
      </c>
      <c r="T227" s="114" t="n">
        <v>0.65</v>
      </c>
      <c r="U227" s="114" t="n">
        <v>1</v>
      </c>
      <c r="V227" s="114" t="n">
        <v>0</v>
      </c>
      <c r="W227" s="114" t="s">
        <v>1193</v>
      </c>
      <c r="X227" s="114" t="s">
        <v>58</v>
      </c>
      <c r="Y227" s="114" t="s">
        <v>58</v>
      </c>
      <c r="Z227" s="114" t="s">
        <v>58</v>
      </c>
      <c r="AA227" s="0" t="s">
        <v>1270</v>
      </c>
      <c r="AB227" s="0" t="s">
        <v>1195</v>
      </c>
      <c r="AC227" s="0" t="s">
        <v>58</v>
      </c>
      <c r="AD227" s="0" t="s">
        <v>58</v>
      </c>
      <c r="AE227" s="0" t="s">
        <v>1271</v>
      </c>
      <c r="AF227" s="0" t="s">
        <v>464</v>
      </c>
      <c r="AG227" s="0" t="s">
        <v>58</v>
      </c>
      <c r="AH227" s="0" t="s">
        <v>58</v>
      </c>
    </row>
    <row r="228" customFormat="false" ht="14.4" hidden="false" customHeight="false" outlineLevel="0" collapsed="false">
      <c r="B228" s="0" t="s">
        <v>1272</v>
      </c>
      <c r="C228" s="0" t="s">
        <v>437</v>
      </c>
      <c r="D228" s="0" t="s">
        <v>430</v>
      </c>
      <c r="E228" s="0" t="s">
        <v>1123</v>
      </c>
      <c r="F228" s="0" t="n">
        <v>3844</v>
      </c>
      <c r="G228" s="0" t="s">
        <v>138</v>
      </c>
      <c r="H228" s="0" t="n">
        <v>190</v>
      </c>
      <c r="I228" s="0" t="n">
        <v>181</v>
      </c>
      <c r="J228" s="0" t="n">
        <v>0</v>
      </c>
      <c r="K228" s="0" t="n">
        <v>90</v>
      </c>
      <c r="L228" s="0" t="n">
        <v>406</v>
      </c>
      <c r="M228" s="0" t="n">
        <v>0</v>
      </c>
      <c r="N228" s="0" t="n">
        <v>10</v>
      </c>
      <c r="O228" s="0" t="n">
        <v>109</v>
      </c>
      <c r="P228" s="0" t="n">
        <v>32</v>
      </c>
      <c r="Q228" s="0" t="n">
        <v>33</v>
      </c>
      <c r="R228" s="0" t="n">
        <v>190</v>
      </c>
      <c r="S228" s="114" t="n">
        <v>1.4</v>
      </c>
      <c r="T228" s="114" t="n">
        <v>0.65</v>
      </c>
      <c r="U228" s="114" t="n">
        <v>1.15</v>
      </c>
      <c r="V228" s="114" t="n">
        <v>0</v>
      </c>
      <c r="W228" s="114" t="s">
        <v>1193</v>
      </c>
      <c r="X228" s="114" t="s">
        <v>58</v>
      </c>
      <c r="Y228" s="114" t="s">
        <v>58</v>
      </c>
      <c r="Z228" s="114" t="s">
        <v>58</v>
      </c>
      <c r="AA228" s="0" t="s">
        <v>1273</v>
      </c>
      <c r="AB228" s="114" t="s">
        <v>1274</v>
      </c>
      <c r="AC228" s="0" t="s">
        <v>1195</v>
      </c>
      <c r="AD228" s="0" t="s">
        <v>58</v>
      </c>
      <c r="AE228" s="0" t="s">
        <v>1275</v>
      </c>
      <c r="AF228" s="114"/>
      <c r="AG228" s="0" t="s">
        <v>464</v>
      </c>
      <c r="AH228" s="0" t="s">
        <v>58</v>
      </c>
    </row>
    <row r="229" customFormat="false" ht="14.4" hidden="false" customHeight="false" outlineLevel="0" collapsed="false">
      <c r="B229" s="0" t="s">
        <v>1276</v>
      </c>
      <c r="C229" s="0" t="s">
        <v>471</v>
      </c>
      <c r="D229" s="0" t="s">
        <v>430</v>
      </c>
      <c r="E229" s="0" t="s">
        <v>1123</v>
      </c>
      <c r="F229" s="0" t="n">
        <v>3744</v>
      </c>
      <c r="G229" s="0" t="s">
        <v>138</v>
      </c>
      <c r="H229" s="0" t="n">
        <v>193</v>
      </c>
      <c r="I229" s="0" t="n">
        <v>159</v>
      </c>
      <c r="J229" s="0" t="n">
        <v>173</v>
      </c>
      <c r="K229" s="0" t="n">
        <v>96</v>
      </c>
      <c r="L229" s="0" t="n">
        <v>381</v>
      </c>
      <c r="M229" s="0" t="n">
        <v>0</v>
      </c>
      <c r="N229" s="0" t="n">
        <v>10</v>
      </c>
      <c r="O229" s="0" t="n">
        <v>187</v>
      </c>
      <c r="P229" s="0" t="n">
        <v>32</v>
      </c>
      <c r="Q229" s="0" t="n">
        <v>58</v>
      </c>
      <c r="R229" s="0" t="n">
        <v>160</v>
      </c>
      <c r="S229" s="114" t="n">
        <v>1.4</v>
      </c>
      <c r="T229" s="114" t="n">
        <v>1.3</v>
      </c>
      <c r="U229" s="114" t="n">
        <v>1.3</v>
      </c>
      <c r="V229" s="114" t="n">
        <v>0</v>
      </c>
      <c r="W229" s="0" t="s">
        <v>1277</v>
      </c>
      <c r="X229" s="0" t="s">
        <v>1278</v>
      </c>
      <c r="Y229" s="0" t="s">
        <v>1279</v>
      </c>
      <c r="Z229" s="114"/>
      <c r="AA229" s="114"/>
      <c r="AB229" s="114"/>
      <c r="AC229" s="114"/>
      <c r="AD229" s="114"/>
      <c r="AE229" s="114"/>
      <c r="AF229" s="114"/>
      <c r="AG229" s="114"/>
      <c r="AH229" s="114"/>
    </row>
    <row r="230" customFormat="false" ht="14.4" hidden="false" customHeight="false" outlineLevel="0" collapsed="false">
      <c r="A230" s="0" t="n">
        <v>304</v>
      </c>
      <c r="B230" s="0" t="s">
        <v>1280</v>
      </c>
      <c r="C230" s="0" t="s">
        <v>437</v>
      </c>
      <c r="D230" s="0" t="s">
        <v>472</v>
      </c>
      <c r="E230" s="0" t="s">
        <v>1123</v>
      </c>
      <c r="F230" s="0" t="n">
        <v>3470</v>
      </c>
      <c r="G230" s="0" t="s">
        <v>138</v>
      </c>
      <c r="H230" s="0" t="n">
        <v>181</v>
      </c>
      <c r="I230" s="0" t="n">
        <v>164</v>
      </c>
      <c r="J230" s="0" t="n">
        <v>0</v>
      </c>
      <c r="K230" s="0" t="n">
        <v>90</v>
      </c>
      <c r="L230" s="0" t="n">
        <v>307</v>
      </c>
      <c r="M230" s="0" t="n">
        <v>0</v>
      </c>
      <c r="N230" s="0" t="n">
        <v>9</v>
      </c>
      <c r="O230" s="0" t="n">
        <v>99</v>
      </c>
      <c r="P230" s="0" t="n">
        <v>32</v>
      </c>
      <c r="Q230" s="114" t="n">
        <v>50</v>
      </c>
      <c r="R230" s="114" t="n">
        <v>158</v>
      </c>
      <c r="S230" s="114" t="n">
        <v>1.35</v>
      </c>
      <c r="T230" s="114" t="n">
        <v>0.65</v>
      </c>
      <c r="U230" s="114" t="n">
        <v>1</v>
      </c>
      <c r="V230" s="114" t="n">
        <v>0</v>
      </c>
      <c r="W230" s="114" t="s">
        <v>1193</v>
      </c>
      <c r="X230" s="114" t="s">
        <v>58</v>
      </c>
      <c r="Y230" s="114" t="s">
        <v>58</v>
      </c>
      <c r="Z230" s="114" t="s">
        <v>58</v>
      </c>
      <c r="AA230" s="0" t="s">
        <v>590</v>
      </c>
      <c r="AB230" s="0" t="s">
        <v>1281</v>
      </c>
      <c r="AC230" s="0" t="s">
        <v>58</v>
      </c>
      <c r="AD230" s="0" t="s">
        <v>58</v>
      </c>
      <c r="AE230" s="0" t="s">
        <v>592</v>
      </c>
      <c r="AF230" s="0" t="s">
        <v>464</v>
      </c>
      <c r="AG230" s="0" t="s">
        <v>58</v>
      </c>
      <c r="AH230" s="0" t="s">
        <v>58</v>
      </c>
    </row>
    <row r="231" customFormat="false" ht="14.4" hidden="false" customHeight="false" outlineLevel="0" collapsed="false">
      <c r="A231" s="0" t="n">
        <v>183</v>
      </c>
      <c r="B231" s="0" t="s">
        <v>1282</v>
      </c>
      <c r="C231" s="0" t="s">
        <v>429</v>
      </c>
      <c r="D231" s="0" t="s">
        <v>472</v>
      </c>
      <c r="E231" s="0" t="s">
        <v>1123</v>
      </c>
      <c r="F231" s="0" t="n">
        <v>3214</v>
      </c>
      <c r="G231" s="0" t="s">
        <v>138</v>
      </c>
      <c r="H231" s="0" t="n">
        <v>176</v>
      </c>
      <c r="I231" s="0" t="n">
        <v>120</v>
      </c>
      <c r="J231" s="0" t="n">
        <v>220</v>
      </c>
      <c r="K231" s="0" t="n">
        <v>100</v>
      </c>
      <c r="L231" s="0" t="n">
        <v>343</v>
      </c>
      <c r="M231" s="0" t="n">
        <v>0</v>
      </c>
      <c r="N231" s="0" t="n">
        <v>9</v>
      </c>
      <c r="O231" s="0" t="n">
        <v>99</v>
      </c>
      <c r="P231" s="0" t="n">
        <v>36</v>
      </c>
      <c r="Q231" s="114" t="n">
        <v>33</v>
      </c>
      <c r="R231" s="114" t="n">
        <v>145</v>
      </c>
      <c r="S231" s="114" t="n">
        <v>1.05</v>
      </c>
      <c r="T231" s="114" t="n">
        <v>1.4</v>
      </c>
      <c r="U231" s="114" t="n">
        <v>1.6</v>
      </c>
      <c r="V231" s="114" t="n">
        <v>0</v>
      </c>
      <c r="W231" s="0" t="s">
        <v>1124</v>
      </c>
      <c r="X231" s="114" t="s">
        <v>58</v>
      </c>
      <c r="Y231" s="114" t="s">
        <v>58</v>
      </c>
      <c r="Z231" s="114" t="s">
        <v>58</v>
      </c>
      <c r="AA231" s="0" t="s">
        <v>701</v>
      </c>
      <c r="AB231" s="0" t="s">
        <v>1125</v>
      </c>
      <c r="AC231" s="0" t="s">
        <v>58</v>
      </c>
      <c r="AD231" s="0" t="s">
        <v>58</v>
      </c>
      <c r="AE231" s="0" t="s">
        <v>702</v>
      </c>
      <c r="AF231" s="0" t="s">
        <v>464</v>
      </c>
      <c r="AG231" s="0" t="s">
        <v>58</v>
      </c>
      <c r="AH231" s="0" t="s">
        <v>58</v>
      </c>
    </row>
    <row r="232" customFormat="false" ht="14.4" hidden="false" customHeight="false" outlineLevel="0" collapsed="false">
      <c r="B232" s="0" t="s">
        <v>1283</v>
      </c>
      <c r="C232" s="0" t="s">
        <v>429</v>
      </c>
      <c r="D232" s="0" t="s">
        <v>443</v>
      </c>
      <c r="E232" s="0" t="s">
        <v>1123</v>
      </c>
      <c r="F232" s="0" t="n">
        <v>3454</v>
      </c>
      <c r="G232" s="0" t="s">
        <v>138</v>
      </c>
      <c r="H232" s="0" t="n">
        <v>176</v>
      </c>
      <c r="I232" s="0" t="n">
        <v>120</v>
      </c>
      <c r="J232" s="0" t="n">
        <v>230</v>
      </c>
      <c r="K232" s="0" t="n">
        <v>100</v>
      </c>
      <c r="L232" s="0" t="n">
        <v>393</v>
      </c>
      <c r="M232" s="0" t="n">
        <v>0</v>
      </c>
      <c r="N232" s="0" t="n">
        <v>9</v>
      </c>
      <c r="O232" s="0" t="n">
        <v>99</v>
      </c>
      <c r="P232" s="0" t="n">
        <v>36</v>
      </c>
      <c r="Q232" s="0" t="n">
        <v>33</v>
      </c>
      <c r="R232" s="0" t="n">
        <v>160</v>
      </c>
      <c r="S232" s="114" t="n">
        <v>1.05</v>
      </c>
      <c r="T232" s="114" t="n">
        <v>1.45</v>
      </c>
      <c r="U232" s="114" t="n">
        <v>1.75</v>
      </c>
      <c r="V232" s="114" t="n">
        <v>0</v>
      </c>
      <c r="W232" s="114" t="s">
        <v>1124</v>
      </c>
      <c r="X232" s="114" t="s">
        <v>1284</v>
      </c>
      <c r="Y232" s="114"/>
      <c r="Z232" s="114"/>
      <c r="AA232" s="114"/>
      <c r="AB232" s="114"/>
      <c r="AC232" s="114"/>
      <c r="AD232" s="114"/>
      <c r="AE232" s="114"/>
      <c r="AF232" s="114"/>
      <c r="AG232" s="114"/>
      <c r="AH232" s="114"/>
    </row>
    <row r="233" customFormat="false" ht="14.4" hidden="false" customHeight="false" outlineLevel="0" collapsed="false">
      <c r="A233" s="0" t="n">
        <v>328</v>
      </c>
      <c r="B233" s="0" t="s">
        <v>1285</v>
      </c>
      <c r="C233" s="0" t="s">
        <v>471</v>
      </c>
      <c r="D233" s="0" t="s">
        <v>472</v>
      </c>
      <c r="E233" s="0" t="s">
        <v>1123</v>
      </c>
      <c r="F233" s="0" t="n">
        <v>3636</v>
      </c>
      <c r="G233" s="0" t="s">
        <v>138</v>
      </c>
      <c r="H233" s="0" t="n">
        <v>182</v>
      </c>
      <c r="I233" s="0" t="n">
        <v>157</v>
      </c>
      <c r="J233" s="0" t="n">
        <v>269</v>
      </c>
      <c r="K233" s="0" t="n">
        <v>100</v>
      </c>
      <c r="L233" s="0" t="n">
        <v>329</v>
      </c>
      <c r="M233" s="0" t="n">
        <v>0</v>
      </c>
      <c r="N233" s="0" t="n">
        <v>9</v>
      </c>
      <c r="O233" s="0" t="n">
        <v>123</v>
      </c>
      <c r="P233" s="0" t="n">
        <v>32</v>
      </c>
      <c r="Q233" s="114" t="n">
        <v>67</v>
      </c>
      <c r="R233" s="114" t="n">
        <v>170</v>
      </c>
      <c r="S233" s="114" t="n">
        <v>1.4</v>
      </c>
      <c r="T233" s="114" t="n">
        <v>1.55</v>
      </c>
      <c r="U233" s="114" t="n">
        <v>1.1</v>
      </c>
      <c r="V233" s="114" t="n">
        <v>0</v>
      </c>
      <c r="W233" s="0" t="s">
        <v>1252</v>
      </c>
      <c r="X233" s="114" t="s">
        <v>58</v>
      </c>
      <c r="Y233" s="114" t="s">
        <v>58</v>
      </c>
      <c r="Z233" s="114" t="s">
        <v>58</v>
      </c>
      <c r="AA233" s="0" t="s">
        <v>1286</v>
      </c>
      <c r="AB233" s="0" t="s">
        <v>1287</v>
      </c>
      <c r="AC233" s="0" t="s">
        <v>58</v>
      </c>
      <c r="AD233" s="0" t="s">
        <v>58</v>
      </c>
      <c r="AE233" s="0" t="s">
        <v>1288</v>
      </c>
      <c r="AF233" s="0" t="s">
        <v>464</v>
      </c>
      <c r="AG233" s="0" t="s">
        <v>58</v>
      </c>
      <c r="AH233" s="0" t="s">
        <v>58</v>
      </c>
    </row>
    <row r="234" customFormat="false" ht="14.4" hidden="false" customHeight="false" outlineLevel="0" collapsed="false">
      <c r="B234" s="0" t="s">
        <v>1289</v>
      </c>
      <c r="C234" s="0" t="s">
        <v>1290</v>
      </c>
      <c r="D234" s="0" t="s">
        <v>430</v>
      </c>
      <c r="E234" s="0" t="s">
        <v>1123</v>
      </c>
      <c r="F234" s="0" t="n">
        <v>3223</v>
      </c>
      <c r="G234" s="0" t="s">
        <v>138</v>
      </c>
      <c r="H234" s="0" t="n">
        <v>182</v>
      </c>
      <c r="I234" s="0" t="n">
        <v>152</v>
      </c>
      <c r="J234" s="0" t="n">
        <v>264</v>
      </c>
      <c r="K234" s="0" t="n">
        <v>79</v>
      </c>
      <c r="L234" s="0" t="n">
        <v>276</v>
      </c>
      <c r="M234" s="0" t="n">
        <v>0</v>
      </c>
      <c r="N234" s="0" t="n">
        <v>11</v>
      </c>
      <c r="O234" s="0" t="n">
        <v>148</v>
      </c>
      <c r="P234" s="0" t="n">
        <v>25</v>
      </c>
      <c r="Q234" s="0" t="n">
        <v>83</v>
      </c>
      <c r="R234" s="0" t="n">
        <v>178</v>
      </c>
      <c r="S234" s="114" t="n">
        <v>1.35</v>
      </c>
      <c r="T234" s="114" t="n">
        <v>1.45</v>
      </c>
      <c r="U234" s="114" t="n">
        <v>1</v>
      </c>
      <c r="V234" s="114" t="n">
        <v>0</v>
      </c>
      <c r="W234" s="114" t="s">
        <v>1291</v>
      </c>
      <c r="X234" s="114"/>
      <c r="Y234" s="114"/>
      <c r="Z234" s="114"/>
      <c r="AA234" s="114"/>
      <c r="AB234" s="114"/>
      <c r="AC234" s="114"/>
      <c r="AD234" s="114"/>
      <c r="AE234" s="114"/>
      <c r="AF234" s="114"/>
      <c r="AG234" s="114"/>
      <c r="AH234" s="114"/>
    </row>
    <row r="235" customFormat="false" ht="14.4" hidden="false" customHeight="false" outlineLevel="0" collapsed="false">
      <c r="A235" s="0" t="n">
        <v>309</v>
      </c>
      <c r="B235" s="0" t="s">
        <v>1292</v>
      </c>
      <c r="C235" s="0" t="s">
        <v>429</v>
      </c>
      <c r="D235" s="0" t="s">
        <v>438</v>
      </c>
      <c r="E235" s="0" t="s">
        <v>1123</v>
      </c>
      <c r="F235" s="0" t="n">
        <v>2615</v>
      </c>
      <c r="G235" s="0" t="s">
        <v>138</v>
      </c>
      <c r="H235" s="0" t="n">
        <v>192</v>
      </c>
      <c r="I235" s="0" t="n">
        <v>156</v>
      </c>
      <c r="J235" s="0" t="n">
        <v>337</v>
      </c>
      <c r="K235" s="0" t="n">
        <v>108</v>
      </c>
      <c r="L235" s="0" t="n">
        <v>285</v>
      </c>
      <c r="M235" s="0" t="n">
        <v>0</v>
      </c>
      <c r="N235" s="0" t="n">
        <v>10</v>
      </c>
      <c r="O235" s="0" t="n">
        <v>99</v>
      </c>
      <c r="P235" s="0" t="n">
        <v>35</v>
      </c>
      <c r="Q235" s="114" t="n">
        <v>38</v>
      </c>
      <c r="R235" s="114" t="n">
        <v>151</v>
      </c>
      <c r="S235" s="114" t="n">
        <v>1.2</v>
      </c>
      <c r="T235" s="114" t="n">
        <v>1.65</v>
      </c>
      <c r="U235" s="114" t="n">
        <v>1.15</v>
      </c>
      <c r="V235" s="114" t="n">
        <v>0</v>
      </c>
      <c r="W235" s="0" t="s">
        <v>1293</v>
      </c>
      <c r="X235" s="114" t="s">
        <v>58</v>
      </c>
      <c r="Y235" s="114" t="s">
        <v>58</v>
      </c>
      <c r="Z235" s="114" t="s">
        <v>58</v>
      </c>
      <c r="AA235" s="0" t="s">
        <v>1294</v>
      </c>
      <c r="AB235" s="0" t="s">
        <v>1295</v>
      </c>
      <c r="AC235" s="0" t="s">
        <v>58</v>
      </c>
      <c r="AD235" s="0" t="s">
        <v>58</v>
      </c>
      <c r="AE235" s="0" t="s">
        <v>1296</v>
      </c>
      <c r="AF235" s="0" t="s">
        <v>464</v>
      </c>
      <c r="AG235" s="0" t="s">
        <v>58</v>
      </c>
      <c r="AH235" s="0" t="s">
        <v>58</v>
      </c>
    </row>
    <row r="236" customFormat="false" ht="14.4" hidden="false" customHeight="false" outlineLevel="0" collapsed="false">
      <c r="A236" s="0" t="n">
        <v>3309</v>
      </c>
      <c r="B236" s="0" t="s">
        <v>1297</v>
      </c>
      <c r="C236" s="0" t="s">
        <v>429</v>
      </c>
      <c r="D236" s="0" t="s">
        <v>430</v>
      </c>
      <c r="E236" s="0" t="s">
        <v>1123</v>
      </c>
      <c r="F236" s="0" t="n">
        <v>2855</v>
      </c>
      <c r="G236" s="0" t="s">
        <v>138</v>
      </c>
      <c r="H236" s="0" t="n">
        <v>197</v>
      </c>
      <c r="I236" s="0" t="n">
        <v>176</v>
      </c>
      <c r="J236" s="0" t="n">
        <v>402</v>
      </c>
      <c r="K236" s="0" t="n">
        <v>108</v>
      </c>
      <c r="L236" s="0" t="n">
        <v>300</v>
      </c>
      <c r="M236" s="0" t="n">
        <v>0</v>
      </c>
      <c r="N236" s="0" t="n">
        <v>0</v>
      </c>
      <c r="O236" s="0" t="n">
        <v>99</v>
      </c>
      <c r="P236" s="0" t="n">
        <v>35</v>
      </c>
      <c r="Q236" s="114" t="n">
        <v>38</v>
      </c>
      <c r="R236" s="114" t="n">
        <v>151</v>
      </c>
      <c r="S236" s="114" t="n">
        <v>1.25</v>
      </c>
      <c r="T236" s="114" t="n">
        <v>1.8</v>
      </c>
      <c r="U236" s="114" t="n">
        <v>1.15</v>
      </c>
      <c r="V236" s="114" t="n">
        <v>0</v>
      </c>
      <c r="W236" s="0" t="s">
        <v>1293</v>
      </c>
      <c r="X236" s="114" t="s">
        <v>58</v>
      </c>
      <c r="Y236" s="114" t="s">
        <v>58</v>
      </c>
      <c r="Z236" s="114" t="s">
        <v>58</v>
      </c>
      <c r="AA236" s="0" t="s">
        <v>1294</v>
      </c>
      <c r="AB236" s="0" t="s">
        <v>1298</v>
      </c>
      <c r="AC236" s="0" t="s">
        <v>1295</v>
      </c>
      <c r="AD236" s="0" t="s">
        <v>58</v>
      </c>
      <c r="AE236" s="0" t="s">
        <v>1296</v>
      </c>
      <c r="AF236" s="0" t="s">
        <v>1299</v>
      </c>
      <c r="AG236" s="0" t="s">
        <v>464</v>
      </c>
      <c r="AH236" s="0" t="s">
        <v>58</v>
      </c>
    </row>
    <row r="237" customFormat="false" ht="14.4" hidden="false" customHeight="false" outlineLevel="0" collapsed="false">
      <c r="A237" s="0" t="n">
        <v>35</v>
      </c>
      <c r="B237" s="0" t="s">
        <v>1300</v>
      </c>
      <c r="C237" s="0" t="s">
        <v>437</v>
      </c>
      <c r="D237" s="0" t="s">
        <v>472</v>
      </c>
      <c r="E237" s="0" t="s">
        <v>1123</v>
      </c>
      <c r="F237" s="0" t="n">
        <v>3517</v>
      </c>
      <c r="G237" s="0" t="s">
        <v>138</v>
      </c>
      <c r="H237" s="0" t="n">
        <v>179</v>
      </c>
      <c r="I237" s="0" t="n">
        <v>129</v>
      </c>
      <c r="J237" s="0" t="n">
        <v>157</v>
      </c>
      <c r="K237" s="0" t="n">
        <v>95</v>
      </c>
      <c r="L237" s="0" t="n">
        <v>422</v>
      </c>
      <c r="M237" s="0" t="n">
        <v>0</v>
      </c>
      <c r="N237" s="0" t="n">
        <v>9</v>
      </c>
      <c r="O237" s="0" t="n">
        <v>187</v>
      </c>
      <c r="P237" s="0" t="n">
        <v>32</v>
      </c>
      <c r="Q237" s="114" t="n">
        <v>18</v>
      </c>
      <c r="R237" s="114" t="n">
        <v>168</v>
      </c>
      <c r="S237" s="114" t="n">
        <v>1.05</v>
      </c>
      <c r="T237" s="114" t="n">
        <v>1.35</v>
      </c>
      <c r="U237" s="114" t="n">
        <v>1.6</v>
      </c>
      <c r="V237" s="114" t="n">
        <v>0</v>
      </c>
      <c r="W237" s="0" t="s">
        <v>1144</v>
      </c>
      <c r="X237" s="114" t="s">
        <v>58</v>
      </c>
      <c r="Y237" s="114" t="s">
        <v>58</v>
      </c>
      <c r="Z237" s="114" t="s">
        <v>58</v>
      </c>
      <c r="AA237" s="0" t="s">
        <v>1301</v>
      </c>
      <c r="AB237" s="0" t="s">
        <v>987</v>
      </c>
      <c r="AC237" s="0" t="s">
        <v>1146</v>
      </c>
      <c r="AD237" s="0" t="s">
        <v>58</v>
      </c>
      <c r="AE237" s="0" t="s">
        <v>1302</v>
      </c>
      <c r="AF237" s="0" t="s">
        <v>702</v>
      </c>
      <c r="AG237" s="0" t="s">
        <v>464</v>
      </c>
      <c r="AH237" s="0" t="s">
        <v>58</v>
      </c>
    </row>
    <row r="238" customFormat="false" ht="14.4" hidden="false" customHeight="false" outlineLevel="0" collapsed="false">
      <c r="A238" s="0" t="n">
        <v>239</v>
      </c>
      <c r="B238" s="0" t="s">
        <v>1303</v>
      </c>
      <c r="C238" s="0" t="s">
        <v>1065</v>
      </c>
      <c r="D238" s="0" t="s">
        <v>527</v>
      </c>
      <c r="E238" s="0" t="s">
        <v>1123</v>
      </c>
      <c r="F238" s="0" t="n">
        <v>3372</v>
      </c>
      <c r="G238" s="0" t="s">
        <v>138</v>
      </c>
      <c r="H238" s="0" t="n">
        <v>175</v>
      </c>
      <c r="I238" s="0" t="n">
        <v>152</v>
      </c>
      <c r="J238" s="0" t="n">
        <v>273</v>
      </c>
      <c r="K238" s="0" t="n">
        <v>100</v>
      </c>
      <c r="L238" s="0" t="n">
        <v>333</v>
      </c>
      <c r="M238" s="0" t="n">
        <v>0</v>
      </c>
      <c r="N238" s="0" t="n">
        <v>8</v>
      </c>
      <c r="O238" s="0" t="n">
        <v>87</v>
      </c>
      <c r="P238" s="0" t="n">
        <v>32</v>
      </c>
      <c r="Q238" s="114" t="n">
        <v>39</v>
      </c>
      <c r="R238" s="114" t="n">
        <v>153</v>
      </c>
      <c r="S238" s="114" t="n">
        <v>1.2</v>
      </c>
      <c r="T238" s="114" t="n">
        <v>1.55</v>
      </c>
      <c r="U238" s="114" t="n">
        <v>1.3</v>
      </c>
      <c r="V238" s="114" t="n">
        <v>0</v>
      </c>
      <c r="W238" s="0" t="s">
        <v>1304</v>
      </c>
      <c r="X238" s="114" t="s">
        <v>58</v>
      </c>
      <c r="Y238" s="114" t="s">
        <v>58</v>
      </c>
      <c r="Z238" s="114" t="s">
        <v>58</v>
      </c>
      <c r="AA238" s="0" t="s">
        <v>1305</v>
      </c>
      <c r="AB238" s="0" t="s">
        <v>1306</v>
      </c>
      <c r="AC238" s="0" t="s">
        <v>58</v>
      </c>
      <c r="AD238" s="0" t="s">
        <v>58</v>
      </c>
      <c r="AE238" s="0" t="s">
        <v>592</v>
      </c>
      <c r="AF238" s="0" t="s">
        <v>464</v>
      </c>
      <c r="AG238" s="0" t="s">
        <v>58</v>
      </c>
      <c r="AH238" s="0" t="s">
        <v>58</v>
      </c>
    </row>
    <row r="239" customFormat="false" ht="14.4" hidden="false" customHeight="false" outlineLevel="0" collapsed="false">
      <c r="A239" s="0" t="n">
        <v>3239</v>
      </c>
      <c r="B239" s="0" t="s">
        <v>1307</v>
      </c>
      <c r="C239" s="0" t="s">
        <v>1065</v>
      </c>
      <c r="D239" s="0" t="s">
        <v>472</v>
      </c>
      <c r="E239" s="0" t="s">
        <v>1123</v>
      </c>
      <c r="F239" s="0" t="n">
        <v>3612</v>
      </c>
      <c r="G239" s="0" t="s">
        <v>138</v>
      </c>
      <c r="H239" s="0" t="n">
        <v>180</v>
      </c>
      <c r="I239" s="0" t="n">
        <v>172</v>
      </c>
      <c r="J239" s="0" t="n">
        <v>318</v>
      </c>
      <c r="K239" s="0" t="n">
        <v>100</v>
      </c>
      <c r="L239" s="0" t="n">
        <v>348</v>
      </c>
      <c r="M239" s="0" t="n">
        <v>0</v>
      </c>
      <c r="N239" s="0" t="n">
        <v>8</v>
      </c>
      <c r="O239" s="0" t="n">
        <v>87</v>
      </c>
      <c r="P239" s="0" t="n">
        <v>32</v>
      </c>
      <c r="Q239" s="114" t="n">
        <v>39</v>
      </c>
      <c r="R239" s="114" t="n">
        <v>153</v>
      </c>
      <c r="S239" s="114" t="n">
        <v>1.2</v>
      </c>
      <c r="T239" s="114" t="n">
        <v>1.7</v>
      </c>
      <c r="U239" s="114" t="n">
        <v>1.35</v>
      </c>
      <c r="V239" s="114" t="n">
        <v>0</v>
      </c>
      <c r="W239" s="0" t="s">
        <v>1304</v>
      </c>
      <c r="X239" s="114" t="s">
        <v>58</v>
      </c>
      <c r="Y239" s="114" t="s">
        <v>58</v>
      </c>
      <c r="Z239" s="114" t="s">
        <v>58</v>
      </c>
      <c r="AA239" s="0" t="s">
        <v>1305</v>
      </c>
      <c r="AB239" s="0" t="s">
        <v>1308</v>
      </c>
      <c r="AC239" s="0" t="s">
        <v>1306</v>
      </c>
      <c r="AD239" s="0" t="s">
        <v>58</v>
      </c>
      <c r="AE239" s="0" t="s">
        <v>592</v>
      </c>
      <c r="AF239" s="0" t="s">
        <v>1309</v>
      </c>
      <c r="AG239" s="0" t="s">
        <v>464</v>
      </c>
      <c r="AH239" s="0" t="s">
        <v>58</v>
      </c>
    </row>
    <row r="240" customFormat="false" ht="14.4" hidden="false" customHeight="false" outlineLevel="0" collapsed="false">
      <c r="A240" s="0" t="n">
        <v>186</v>
      </c>
      <c r="B240" s="0" t="s">
        <v>1310</v>
      </c>
      <c r="C240" s="0" t="s">
        <v>429</v>
      </c>
      <c r="D240" s="0" t="s">
        <v>443</v>
      </c>
      <c r="E240" s="0" t="s">
        <v>1123</v>
      </c>
      <c r="F240" s="0" t="n">
        <v>2886</v>
      </c>
      <c r="G240" s="0" t="s">
        <v>138</v>
      </c>
      <c r="H240" s="0" t="n">
        <v>181</v>
      </c>
      <c r="I240" s="0" t="n">
        <v>148</v>
      </c>
      <c r="J240" s="0" t="n">
        <v>289</v>
      </c>
      <c r="K240" s="0" t="n">
        <v>105</v>
      </c>
      <c r="L240" s="0" t="n">
        <v>304</v>
      </c>
      <c r="M240" s="0" t="n">
        <v>0</v>
      </c>
      <c r="N240" s="0" t="n">
        <v>9</v>
      </c>
      <c r="O240" s="0" t="n">
        <v>123</v>
      </c>
      <c r="P240" s="0" t="n">
        <v>36</v>
      </c>
      <c r="Q240" s="0" t="n">
        <v>52</v>
      </c>
      <c r="R240" s="0" t="n">
        <v>145</v>
      </c>
      <c r="S240" s="114" t="n">
        <v>1.2</v>
      </c>
      <c r="T240" s="114" t="n">
        <v>1.65</v>
      </c>
      <c r="U240" s="114" t="n">
        <v>1.25</v>
      </c>
      <c r="V240" s="114" t="n">
        <v>0</v>
      </c>
      <c r="W240" s="0" t="s">
        <v>1124</v>
      </c>
      <c r="X240" s="114" t="s">
        <v>58</v>
      </c>
      <c r="Y240" s="114" t="s">
        <v>58</v>
      </c>
      <c r="Z240" s="114" t="s">
        <v>58</v>
      </c>
      <c r="AA240" s="114" t="s">
        <v>1311</v>
      </c>
      <c r="AB240" s="114" t="s">
        <v>1125</v>
      </c>
      <c r="AC240" s="0" t="s">
        <v>58</v>
      </c>
      <c r="AD240" s="0" t="s">
        <v>58</v>
      </c>
      <c r="AE240" s="114" t="s">
        <v>1312</v>
      </c>
      <c r="AF240" s="0" t="s">
        <v>464</v>
      </c>
      <c r="AG240" s="0" t="s">
        <v>58</v>
      </c>
      <c r="AH240" s="0" t="s">
        <v>58</v>
      </c>
    </row>
    <row r="241" customFormat="false" ht="14.4" hidden="false" customHeight="false" outlineLevel="0" collapsed="false">
      <c r="A241" s="0" t="n">
        <v>3186</v>
      </c>
      <c r="B241" s="0" t="s">
        <v>1313</v>
      </c>
      <c r="C241" s="0" t="s">
        <v>429</v>
      </c>
      <c r="D241" s="0" t="s">
        <v>430</v>
      </c>
      <c r="E241" s="0" t="s">
        <v>1123</v>
      </c>
      <c r="F241" s="0" t="n">
        <v>3126</v>
      </c>
      <c r="G241" s="0" t="s">
        <v>138</v>
      </c>
      <c r="H241" s="0" t="n">
        <v>186</v>
      </c>
      <c r="I241" s="0" t="n">
        <v>158</v>
      </c>
      <c r="J241" s="0" t="n">
        <v>354</v>
      </c>
      <c r="K241" s="0" t="n">
        <v>105</v>
      </c>
      <c r="L241" s="0" t="n">
        <v>319</v>
      </c>
      <c r="M241" s="0" t="n">
        <v>0</v>
      </c>
      <c r="N241" s="0" t="n">
        <v>9</v>
      </c>
      <c r="O241" s="0" t="n">
        <v>123</v>
      </c>
      <c r="P241" s="0" t="n">
        <v>36</v>
      </c>
      <c r="Q241" s="0" t="n">
        <v>52</v>
      </c>
      <c r="R241" s="0" t="n">
        <v>150</v>
      </c>
      <c r="S241" s="114" t="n">
        <v>1.2</v>
      </c>
      <c r="T241" s="114" t="n">
        <v>1.8</v>
      </c>
      <c r="U241" s="114" t="n">
        <v>1.3</v>
      </c>
      <c r="V241" s="114" t="n">
        <v>0</v>
      </c>
      <c r="W241" s="0" t="s">
        <v>1124</v>
      </c>
      <c r="X241" s="114" t="s">
        <v>58</v>
      </c>
      <c r="Y241" s="114" t="s">
        <v>58</v>
      </c>
      <c r="Z241" s="114" t="s">
        <v>58</v>
      </c>
      <c r="AA241" s="114" t="s">
        <v>1311</v>
      </c>
      <c r="AB241" s="114" t="s">
        <v>1314</v>
      </c>
      <c r="AC241" s="114" t="s">
        <v>1125</v>
      </c>
      <c r="AD241" s="0" t="s">
        <v>58</v>
      </c>
      <c r="AE241" s="114" t="s">
        <v>1312</v>
      </c>
      <c r="AF241" s="114" t="s">
        <v>1315</v>
      </c>
      <c r="AG241" s="0" t="s">
        <v>464</v>
      </c>
      <c r="AH241" s="0" t="s">
        <v>58</v>
      </c>
    </row>
    <row r="242" customFormat="false" ht="14.4" hidden="false" customHeight="false" outlineLevel="0" collapsed="false">
      <c r="A242" s="0" t="n">
        <v>240</v>
      </c>
      <c r="B242" s="0" t="s">
        <v>1316</v>
      </c>
      <c r="C242" s="0" t="s">
        <v>1065</v>
      </c>
      <c r="D242" s="0" t="s">
        <v>527</v>
      </c>
      <c r="E242" s="0" t="s">
        <v>1123</v>
      </c>
      <c r="F242" s="0" t="n">
        <v>3372</v>
      </c>
      <c r="G242" s="0" t="s">
        <v>138</v>
      </c>
      <c r="H242" s="0" t="n">
        <v>175</v>
      </c>
      <c r="I242" s="0" t="n">
        <v>152</v>
      </c>
      <c r="J242" s="0" t="n">
        <v>273</v>
      </c>
      <c r="K242" s="0" t="n">
        <v>100</v>
      </c>
      <c r="L242" s="0" t="n">
        <v>333</v>
      </c>
      <c r="M242" s="0" t="n">
        <v>0</v>
      </c>
      <c r="N242" s="0" t="n">
        <v>8</v>
      </c>
      <c r="O242" s="0" t="n">
        <v>105</v>
      </c>
      <c r="P242" s="0" t="n">
        <v>32</v>
      </c>
      <c r="Q242" s="114" t="n">
        <v>62</v>
      </c>
      <c r="R242" s="114" t="n">
        <v>153</v>
      </c>
      <c r="S242" s="114" t="n">
        <v>1.2</v>
      </c>
      <c r="T242" s="114" t="n">
        <v>1.55</v>
      </c>
      <c r="U242" s="114" t="n">
        <v>1.3</v>
      </c>
      <c r="V242" s="114" t="n">
        <v>0</v>
      </c>
      <c r="W242" s="0" t="s">
        <v>1304</v>
      </c>
      <c r="X242" s="114" t="s">
        <v>58</v>
      </c>
      <c r="Y242" s="114" t="s">
        <v>58</v>
      </c>
      <c r="Z242" s="114" t="s">
        <v>58</v>
      </c>
      <c r="AA242" s="0" t="s">
        <v>590</v>
      </c>
      <c r="AB242" s="0" t="s">
        <v>1317</v>
      </c>
      <c r="AC242" s="0" t="s">
        <v>58</v>
      </c>
      <c r="AD242" s="0" t="s">
        <v>58</v>
      </c>
      <c r="AE242" s="0" t="s">
        <v>592</v>
      </c>
      <c r="AF242" s="0" t="s">
        <v>464</v>
      </c>
      <c r="AG242" s="0" t="s">
        <v>58</v>
      </c>
      <c r="AH242" s="0" t="s">
        <v>58</v>
      </c>
    </row>
    <row r="243" customFormat="false" ht="14.4" hidden="false" customHeight="false" outlineLevel="0" collapsed="false">
      <c r="A243" s="0" t="n">
        <v>3239</v>
      </c>
      <c r="B243" s="0" t="s">
        <v>1318</v>
      </c>
      <c r="C243" s="0" t="s">
        <v>1065</v>
      </c>
      <c r="D243" s="0" t="s">
        <v>472</v>
      </c>
      <c r="E243" s="0" t="s">
        <v>1123</v>
      </c>
      <c r="F243" s="0" t="n">
        <v>3612</v>
      </c>
      <c r="G243" s="0" t="s">
        <v>138</v>
      </c>
      <c r="H243" s="0" t="n">
        <v>180</v>
      </c>
      <c r="I243" s="0" t="n">
        <v>172</v>
      </c>
      <c r="J243" s="0" t="n">
        <v>318</v>
      </c>
      <c r="K243" s="0" t="n">
        <v>100</v>
      </c>
      <c r="L243" s="0" t="n">
        <v>348</v>
      </c>
      <c r="M243" s="0" t="n">
        <v>0</v>
      </c>
      <c r="N243" s="0" t="n">
        <v>8</v>
      </c>
      <c r="O243" s="0" t="n">
        <v>105</v>
      </c>
      <c r="P243" s="0" t="n">
        <v>32</v>
      </c>
      <c r="Q243" s="0" t="n">
        <v>62</v>
      </c>
      <c r="R243" s="0" t="n">
        <v>153</v>
      </c>
      <c r="S243" s="114" t="n">
        <v>1.2</v>
      </c>
      <c r="T243" s="114" t="n">
        <v>1.7</v>
      </c>
      <c r="U243" s="114" t="n">
        <v>1.35</v>
      </c>
      <c r="V243" s="114" t="n">
        <v>0</v>
      </c>
      <c r="W243" s="114" t="s">
        <v>1304</v>
      </c>
      <c r="X243" s="114" t="s">
        <v>58</v>
      </c>
      <c r="Y243" s="114" t="s">
        <v>58</v>
      </c>
      <c r="Z243" s="114" t="s">
        <v>58</v>
      </c>
      <c r="AA243" s="0" t="s">
        <v>590</v>
      </c>
      <c r="AB243" s="0" t="s">
        <v>1319</v>
      </c>
      <c r="AC243" s="0" t="s">
        <v>1317</v>
      </c>
      <c r="AD243" s="0" t="s">
        <v>58</v>
      </c>
      <c r="AE243" s="0" t="s">
        <v>592</v>
      </c>
      <c r="AF243" s="0" t="s">
        <v>1320</v>
      </c>
      <c r="AG243" s="0" t="s">
        <v>464</v>
      </c>
      <c r="AH243" s="0" t="s">
        <v>58</v>
      </c>
    </row>
    <row r="244" customFormat="false" ht="14.4" hidden="false" customHeight="false" outlineLevel="0" collapsed="false">
      <c r="A244" s="0" t="n">
        <v>238</v>
      </c>
      <c r="B244" s="0" t="s">
        <v>1321</v>
      </c>
      <c r="C244" s="0" t="s">
        <v>1065</v>
      </c>
      <c r="D244" s="0" t="s">
        <v>527</v>
      </c>
      <c r="E244" s="0" t="s">
        <v>1123</v>
      </c>
      <c r="F244" s="0" t="n">
        <v>3372</v>
      </c>
      <c r="G244" s="0" t="s">
        <v>138</v>
      </c>
      <c r="H244" s="0" t="n">
        <v>175</v>
      </c>
      <c r="I244" s="0" t="n">
        <v>152</v>
      </c>
      <c r="J244" s="0" t="n">
        <v>273</v>
      </c>
      <c r="K244" s="0" t="n">
        <v>100</v>
      </c>
      <c r="L244" s="0" t="n">
        <v>333</v>
      </c>
      <c r="M244" s="0" t="n">
        <v>0</v>
      </c>
      <c r="N244" s="0" t="n">
        <v>8</v>
      </c>
      <c r="O244" s="0" t="n">
        <v>104</v>
      </c>
      <c r="P244" s="0" t="n">
        <v>32</v>
      </c>
      <c r="Q244" s="114" t="n">
        <v>42</v>
      </c>
      <c r="R244" s="114" t="n">
        <v>153</v>
      </c>
      <c r="S244" s="114" t="n">
        <v>1.2</v>
      </c>
      <c r="T244" s="114" t="n">
        <v>1.55</v>
      </c>
      <c r="U244" s="114" t="n">
        <v>1.3</v>
      </c>
      <c r="V244" s="114" t="n">
        <v>0</v>
      </c>
      <c r="W244" s="0" t="s">
        <v>1304</v>
      </c>
      <c r="X244" s="114" t="s">
        <v>58</v>
      </c>
      <c r="Y244" s="114" t="s">
        <v>58</v>
      </c>
      <c r="Z244" s="114" t="s">
        <v>58</v>
      </c>
      <c r="AA244" s="0" t="s">
        <v>1322</v>
      </c>
      <c r="AB244" s="0" t="s">
        <v>1317</v>
      </c>
      <c r="AC244" s="0" t="s">
        <v>58</v>
      </c>
      <c r="AD244" s="0" t="s">
        <v>58</v>
      </c>
      <c r="AE244" s="0" t="s">
        <v>1323</v>
      </c>
      <c r="AF244" s="0" t="s">
        <v>464</v>
      </c>
      <c r="AG244" s="0" t="s">
        <v>58</v>
      </c>
      <c r="AH244" s="0" t="s">
        <v>58</v>
      </c>
    </row>
    <row r="245" customFormat="false" ht="14.4" hidden="false" customHeight="false" outlineLevel="0" collapsed="false">
      <c r="B245" s="0" t="s">
        <v>1324</v>
      </c>
      <c r="C245" s="0" t="s">
        <v>1037</v>
      </c>
      <c r="D245" s="0" t="s">
        <v>443</v>
      </c>
      <c r="E245" s="0" t="s">
        <v>1123</v>
      </c>
      <c r="F245" s="0" t="n">
        <v>3484</v>
      </c>
      <c r="G245" s="0" t="s">
        <v>138</v>
      </c>
      <c r="H245" s="0" t="n">
        <v>176</v>
      </c>
      <c r="I245" s="0" t="n">
        <v>171</v>
      </c>
      <c r="J245" s="0" t="n">
        <v>279</v>
      </c>
      <c r="K245" s="0" t="n">
        <v>114</v>
      </c>
      <c r="L245" s="0" t="n">
        <v>309</v>
      </c>
      <c r="M245" s="0" t="n">
        <v>0</v>
      </c>
      <c r="N245" s="0" t="n">
        <v>10</v>
      </c>
      <c r="O245" s="0" t="n">
        <v>146</v>
      </c>
      <c r="P245" s="0" t="n">
        <v>31</v>
      </c>
      <c r="Q245" s="0" t="n">
        <v>35</v>
      </c>
      <c r="R245" s="0" t="n">
        <v>172</v>
      </c>
      <c r="S245" s="114" t="n">
        <v>1.35</v>
      </c>
      <c r="T245" s="114" t="n">
        <v>1.5</v>
      </c>
      <c r="U245" s="114" t="n">
        <v>1</v>
      </c>
      <c r="V245" s="114" t="n">
        <v>0</v>
      </c>
      <c r="W245" s="114" t="s">
        <v>1325</v>
      </c>
      <c r="X245" s="114" t="s">
        <v>1324</v>
      </c>
      <c r="Y245" s="114"/>
      <c r="Z245" s="114"/>
      <c r="AA245" s="114"/>
      <c r="AB245" s="114"/>
      <c r="AC245" s="114"/>
      <c r="AD245" s="114"/>
      <c r="AE245" s="114"/>
      <c r="AF245" s="114"/>
      <c r="AG245" s="114"/>
      <c r="AH245" s="114"/>
    </row>
    <row r="246" customFormat="false" ht="14.4" hidden="false" customHeight="false" outlineLevel="0" collapsed="false">
      <c r="A246" s="0" t="n">
        <v>104</v>
      </c>
      <c r="B246" s="0" t="s">
        <v>1326</v>
      </c>
      <c r="C246" s="0" t="s">
        <v>471</v>
      </c>
      <c r="D246" s="0" t="s">
        <v>527</v>
      </c>
      <c r="E246" s="0" t="s">
        <v>1123</v>
      </c>
      <c r="F246" s="0" t="n">
        <v>3246</v>
      </c>
      <c r="G246" s="0" t="s">
        <v>138</v>
      </c>
      <c r="H246" s="0" t="n">
        <v>171</v>
      </c>
      <c r="I246" s="0" t="n">
        <v>146</v>
      </c>
      <c r="J246" s="0" t="n">
        <v>270</v>
      </c>
      <c r="K246" s="0" t="n">
        <v>102</v>
      </c>
      <c r="L246" s="0" t="n">
        <v>321</v>
      </c>
      <c r="M246" s="0" t="n">
        <v>0</v>
      </c>
      <c r="N246" s="0" t="n">
        <v>8</v>
      </c>
      <c r="O246" s="0" t="n">
        <v>125</v>
      </c>
      <c r="P246" s="0" t="n">
        <v>32</v>
      </c>
      <c r="Q246" s="114" t="n">
        <v>44</v>
      </c>
      <c r="R246" s="114" t="n">
        <v>145</v>
      </c>
      <c r="S246" s="114" t="n">
        <v>1.2</v>
      </c>
      <c r="T246" s="114" t="n">
        <v>1.6</v>
      </c>
      <c r="U246" s="114" t="n">
        <v>1.3</v>
      </c>
      <c r="V246" s="114" t="n">
        <v>0</v>
      </c>
      <c r="W246" s="0" t="s">
        <v>1128</v>
      </c>
      <c r="X246" s="114" t="s">
        <v>58</v>
      </c>
      <c r="Y246" s="114" t="s">
        <v>58</v>
      </c>
      <c r="Z246" s="114" t="s">
        <v>58</v>
      </c>
      <c r="AA246" s="0" t="s">
        <v>1327</v>
      </c>
      <c r="AB246" s="0" t="s">
        <v>1328</v>
      </c>
      <c r="AC246" s="0" t="s">
        <v>58</v>
      </c>
      <c r="AD246" s="0" t="s">
        <v>58</v>
      </c>
      <c r="AE246" s="0" t="s">
        <v>1196</v>
      </c>
      <c r="AF246" s="0" t="s">
        <v>464</v>
      </c>
      <c r="AG246" s="0" t="s">
        <v>58</v>
      </c>
      <c r="AH246" s="0" t="s">
        <v>58</v>
      </c>
    </row>
    <row r="247" customFormat="false" ht="14.4" hidden="false" customHeight="false" outlineLevel="0" collapsed="false">
      <c r="A247" s="0" t="n">
        <v>3104</v>
      </c>
      <c r="B247" s="0" t="s">
        <v>1329</v>
      </c>
      <c r="C247" s="0" t="s">
        <v>471</v>
      </c>
      <c r="D247" s="0" t="s">
        <v>472</v>
      </c>
      <c r="E247" s="0" t="s">
        <v>1123</v>
      </c>
      <c r="F247" s="0" t="n">
        <v>3486</v>
      </c>
      <c r="G247" s="0" t="s">
        <v>138</v>
      </c>
      <c r="H247" s="0" t="n">
        <v>176</v>
      </c>
      <c r="I247" s="0" t="n">
        <v>196</v>
      </c>
      <c r="J247" s="0" t="n">
        <v>305</v>
      </c>
      <c r="K247" s="0" t="n">
        <v>102</v>
      </c>
      <c r="L247" s="0" t="n">
        <v>321</v>
      </c>
      <c r="M247" s="0" t="n">
        <v>0</v>
      </c>
      <c r="N247" s="0" t="n">
        <v>8</v>
      </c>
      <c r="O247" s="0" t="n">
        <v>125</v>
      </c>
      <c r="P247" s="0" t="n">
        <v>32</v>
      </c>
      <c r="Q247" s="114" t="n">
        <v>44</v>
      </c>
      <c r="R247" s="114" t="n">
        <v>145</v>
      </c>
      <c r="S247" s="114" t="n">
        <v>1.35</v>
      </c>
      <c r="T247" s="114" t="n">
        <v>1.65</v>
      </c>
      <c r="U247" s="114" t="n">
        <v>1.3</v>
      </c>
      <c r="V247" s="114" t="n">
        <v>0</v>
      </c>
      <c r="W247" s="0" t="s">
        <v>1128</v>
      </c>
      <c r="X247" s="114" t="s">
        <v>58</v>
      </c>
      <c r="Y247" s="114" t="s">
        <v>58</v>
      </c>
      <c r="Z247" s="114" t="s">
        <v>58</v>
      </c>
      <c r="AA247" s="0" t="s">
        <v>1327</v>
      </c>
      <c r="AB247" s="0" t="s">
        <v>773</v>
      </c>
      <c r="AC247" s="0" t="s">
        <v>1328</v>
      </c>
      <c r="AD247" s="0" t="s">
        <v>58</v>
      </c>
      <c r="AE247" s="0" t="s">
        <v>58</v>
      </c>
      <c r="AF247" s="0" t="s">
        <v>478</v>
      </c>
      <c r="AG247" s="0" t="s">
        <v>464</v>
      </c>
      <c r="AH247" s="0" t="s">
        <v>58</v>
      </c>
    </row>
    <row r="248" customFormat="false" ht="14.4" hidden="false" customHeight="false" outlineLevel="0" collapsed="false">
      <c r="A248" s="0" t="n">
        <v>241</v>
      </c>
      <c r="B248" s="0" t="s">
        <v>1330</v>
      </c>
      <c r="C248" s="0" t="s">
        <v>1065</v>
      </c>
      <c r="D248" s="0" t="s">
        <v>472</v>
      </c>
      <c r="E248" s="0" t="s">
        <v>1123</v>
      </c>
      <c r="F248" s="0" t="n">
        <v>3494</v>
      </c>
      <c r="G248" s="0" t="s">
        <v>138</v>
      </c>
      <c r="H248" s="0" t="n">
        <v>185</v>
      </c>
      <c r="I248" s="0" t="n">
        <v>148</v>
      </c>
      <c r="J248" s="0" t="n">
        <v>270</v>
      </c>
      <c r="K248" s="0" t="n">
        <v>102</v>
      </c>
      <c r="L248" s="0" t="n">
        <v>347</v>
      </c>
      <c r="M248" s="0" t="n">
        <v>0</v>
      </c>
      <c r="N248" s="0" t="n">
        <v>9</v>
      </c>
      <c r="O248" s="0" t="n">
        <v>99</v>
      </c>
      <c r="P248" s="0" t="n">
        <v>32</v>
      </c>
      <c r="Q248" s="114" t="n">
        <v>67</v>
      </c>
      <c r="R248" s="114" t="n">
        <v>158</v>
      </c>
      <c r="S248" s="114" t="n">
        <v>1.25</v>
      </c>
      <c r="T248" s="114" t="n">
        <v>1.6</v>
      </c>
      <c r="U248" s="114" t="n">
        <v>1.3</v>
      </c>
      <c r="V248" s="114" t="n">
        <v>0</v>
      </c>
      <c r="W248" s="0" t="s">
        <v>1331</v>
      </c>
      <c r="X248" s="114" t="s">
        <v>58</v>
      </c>
      <c r="Y248" s="114" t="s">
        <v>58</v>
      </c>
      <c r="Z248" s="114" t="s">
        <v>58</v>
      </c>
      <c r="AA248" s="0" t="s">
        <v>1332</v>
      </c>
      <c r="AB248" s="0" t="s">
        <v>1333</v>
      </c>
      <c r="AC248" s="0" t="s">
        <v>58</v>
      </c>
      <c r="AD248" s="0" t="s">
        <v>58</v>
      </c>
      <c r="AE248" s="0" t="s">
        <v>1334</v>
      </c>
      <c r="AF248" s="0" t="s">
        <v>464</v>
      </c>
      <c r="AG248" s="0" t="s">
        <v>58</v>
      </c>
      <c r="AH248" s="0" t="s">
        <v>58</v>
      </c>
    </row>
    <row r="249" customFormat="false" ht="14.4" hidden="false" customHeight="false" outlineLevel="0" collapsed="false">
      <c r="A249" s="0" t="n">
        <v>3241</v>
      </c>
      <c r="B249" s="0" t="s">
        <v>1335</v>
      </c>
      <c r="C249" s="0" t="s">
        <v>1065</v>
      </c>
      <c r="D249" s="0" t="s">
        <v>438</v>
      </c>
      <c r="E249" s="0" t="s">
        <v>1123</v>
      </c>
      <c r="F249" s="0" t="n">
        <v>3724</v>
      </c>
      <c r="G249" s="0" t="s">
        <v>138</v>
      </c>
      <c r="H249" s="0" t="n">
        <v>190</v>
      </c>
      <c r="I249" s="0" t="n">
        <v>168</v>
      </c>
      <c r="J249" s="0" t="n">
        <v>325</v>
      </c>
      <c r="K249" s="0" t="n">
        <v>102</v>
      </c>
      <c r="L249" s="0" t="n">
        <v>387</v>
      </c>
      <c r="M249" s="0" t="n">
        <v>0</v>
      </c>
      <c r="N249" s="0" t="n">
        <v>9</v>
      </c>
      <c r="O249" s="0" t="n">
        <v>99</v>
      </c>
      <c r="P249" s="0" t="n">
        <v>32</v>
      </c>
      <c r="Q249" s="0" t="n">
        <v>67</v>
      </c>
      <c r="R249" s="0" t="n">
        <v>158</v>
      </c>
      <c r="S249" s="114" t="n">
        <v>1.25</v>
      </c>
      <c r="T249" s="114" t="n">
        <v>1.75</v>
      </c>
      <c r="U249" s="114" t="n">
        <v>1.35</v>
      </c>
      <c r="V249" s="114" t="n">
        <v>0</v>
      </c>
      <c r="W249" s="0" t="s">
        <v>1331</v>
      </c>
      <c r="X249" s="114" t="s">
        <v>58</v>
      </c>
      <c r="Y249" s="114" t="s">
        <v>58</v>
      </c>
      <c r="Z249" s="114" t="s">
        <v>58</v>
      </c>
      <c r="AA249" s="0" t="s">
        <v>1332</v>
      </c>
      <c r="AB249" s="0" t="s">
        <v>1336</v>
      </c>
      <c r="AC249" s="0" t="s">
        <v>1333</v>
      </c>
      <c r="AD249" s="0" t="s">
        <v>58</v>
      </c>
      <c r="AE249" s="0" t="s">
        <v>1334</v>
      </c>
      <c r="AF249" s="0" t="s">
        <v>1337</v>
      </c>
      <c r="AG249" s="0" t="s">
        <v>464</v>
      </c>
      <c r="AH249" s="0" t="s">
        <v>58</v>
      </c>
    </row>
    <row r="250" customFormat="false" ht="14.4" hidden="false" customHeight="false" outlineLevel="0" collapsed="false">
      <c r="A250" s="0" t="n">
        <v>390</v>
      </c>
      <c r="B250" s="0" t="s">
        <v>1338</v>
      </c>
      <c r="C250" s="0" t="s">
        <v>437</v>
      </c>
      <c r="D250" s="0" t="s">
        <v>438</v>
      </c>
      <c r="E250" s="0" t="s">
        <v>1123</v>
      </c>
      <c r="F250" s="0" t="n">
        <v>3246</v>
      </c>
      <c r="G250" s="0" t="s">
        <v>138</v>
      </c>
      <c r="H250" s="0" t="n">
        <v>185</v>
      </c>
      <c r="I250" s="0" t="n">
        <v>167</v>
      </c>
      <c r="J250" s="0" t="n">
        <v>0</v>
      </c>
      <c r="K250" s="0" t="n">
        <v>91</v>
      </c>
      <c r="L250" s="0" t="n">
        <v>316</v>
      </c>
      <c r="M250" s="0" t="n">
        <v>0</v>
      </c>
      <c r="N250" s="0" t="n">
        <v>10</v>
      </c>
      <c r="O250" s="0" t="n">
        <v>107</v>
      </c>
      <c r="P250" s="0" t="n">
        <v>32</v>
      </c>
      <c r="Q250" s="0" t="n">
        <v>33</v>
      </c>
      <c r="R250" s="0" t="n">
        <v>172</v>
      </c>
      <c r="S250" s="114" t="n">
        <v>1.35</v>
      </c>
      <c r="T250" s="114" t="n">
        <v>0.65</v>
      </c>
      <c r="U250" s="114" t="n">
        <v>1.2</v>
      </c>
      <c r="V250" s="114" t="n">
        <v>0</v>
      </c>
      <c r="W250" s="114" t="s">
        <v>1193</v>
      </c>
      <c r="X250" s="114" t="s">
        <v>58</v>
      </c>
      <c r="Y250" s="114" t="s">
        <v>58</v>
      </c>
      <c r="Z250" s="114" t="s">
        <v>58</v>
      </c>
      <c r="AA250" s="0" t="s">
        <v>1339</v>
      </c>
      <c r="AB250" s="0" t="s">
        <v>1340</v>
      </c>
      <c r="AC250" s="0" t="s">
        <v>1195</v>
      </c>
      <c r="AD250" s="0" t="s">
        <v>58</v>
      </c>
      <c r="AE250" s="0" t="s">
        <v>1341</v>
      </c>
      <c r="AF250" s="0" t="s">
        <v>1342</v>
      </c>
      <c r="AG250" s="0" t="s">
        <v>464</v>
      </c>
      <c r="AH250" s="0" t="s">
        <v>58</v>
      </c>
    </row>
    <row r="251" customFormat="false" ht="14.4" hidden="false" customHeight="false" outlineLevel="0" collapsed="false">
      <c r="B251" s="0" t="s">
        <v>1343</v>
      </c>
      <c r="C251" s="0" t="s">
        <v>1065</v>
      </c>
      <c r="D251" s="0" t="s">
        <v>1344</v>
      </c>
      <c r="E251" s="0" t="s">
        <v>1123</v>
      </c>
      <c r="F251" s="0" t="n">
        <v>5262</v>
      </c>
      <c r="G251" s="0" t="s">
        <v>140</v>
      </c>
      <c r="H251" s="0" t="n">
        <v>182</v>
      </c>
      <c r="I251" s="0" t="n">
        <v>168</v>
      </c>
      <c r="J251" s="0" t="n">
        <v>193</v>
      </c>
      <c r="K251" s="0" t="n">
        <v>75</v>
      </c>
      <c r="L251" s="0" t="n">
        <v>354</v>
      </c>
      <c r="M251" s="0" t="n">
        <v>0</v>
      </c>
      <c r="N251" s="0" t="n">
        <v>11</v>
      </c>
      <c r="O251" s="0" t="n">
        <v>120</v>
      </c>
      <c r="P251" s="0" t="n">
        <v>25</v>
      </c>
      <c r="Q251" s="0" t="n">
        <v>0</v>
      </c>
      <c r="R251" s="0" t="n">
        <v>128</v>
      </c>
      <c r="S251" s="114" t="n">
        <v>1.3</v>
      </c>
      <c r="T251" s="114" t="n">
        <v>1.1</v>
      </c>
      <c r="U251" s="114" t="n">
        <v>1.1</v>
      </c>
      <c r="V251" s="114" t="n">
        <v>0</v>
      </c>
      <c r="W251" s="0" t="s">
        <v>1345</v>
      </c>
      <c r="X251" s="0" t="s">
        <v>1346</v>
      </c>
      <c r="Y251" s="0" t="s">
        <v>1347</v>
      </c>
      <c r="Z251" s="0" t="s">
        <v>1348</v>
      </c>
      <c r="AA251" s="114"/>
      <c r="AB251" s="114"/>
      <c r="AC251" s="114"/>
      <c r="AD251" s="114"/>
      <c r="AE251" s="114"/>
      <c r="AF251" s="114"/>
      <c r="AG251" s="114"/>
      <c r="AH251" s="114"/>
    </row>
    <row r="252" customFormat="false" ht="14.4" hidden="false" customHeight="false" outlineLevel="0" collapsed="false">
      <c r="B252" s="0" t="s">
        <v>1349</v>
      </c>
      <c r="C252" s="0" t="s">
        <v>437</v>
      </c>
      <c r="D252" s="0" t="s">
        <v>472</v>
      </c>
      <c r="E252" s="0" t="s">
        <v>1123</v>
      </c>
      <c r="F252" s="0" t="n">
        <v>3301</v>
      </c>
      <c r="G252" s="0" t="s">
        <v>138</v>
      </c>
      <c r="H252" s="0" t="n">
        <v>185</v>
      </c>
      <c r="I252" s="0" t="n">
        <v>135</v>
      </c>
      <c r="J252" s="0" t="n">
        <v>245</v>
      </c>
      <c r="K252" s="0" t="n">
        <v>101</v>
      </c>
      <c r="L252" s="0" t="n">
        <v>286</v>
      </c>
      <c r="M252" s="0" t="n">
        <v>0</v>
      </c>
      <c r="N252" s="0" t="n">
        <v>9</v>
      </c>
      <c r="O252" s="0" t="n">
        <v>82</v>
      </c>
      <c r="P252" s="0" t="n">
        <v>35</v>
      </c>
      <c r="Q252" s="0" t="n">
        <v>55</v>
      </c>
      <c r="R252" s="0" t="n">
        <v>151</v>
      </c>
      <c r="S252" s="114" t="n">
        <v>1.25</v>
      </c>
      <c r="T252" s="114" t="n">
        <v>1.5</v>
      </c>
      <c r="U252" s="114" t="n">
        <v>1.3</v>
      </c>
      <c r="V252" s="114" t="n">
        <v>0</v>
      </c>
      <c r="W252" s="114" t="s">
        <v>1215</v>
      </c>
      <c r="X252" s="114"/>
      <c r="Y252" s="114"/>
      <c r="Z252" s="114"/>
      <c r="AA252" s="114"/>
      <c r="AB252" s="114"/>
      <c r="AC252" s="114"/>
      <c r="AD252" s="114"/>
      <c r="AE252" s="114"/>
      <c r="AF252" s="114"/>
      <c r="AG252" s="114"/>
      <c r="AH252" s="114"/>
    </row>
    <row r="253" customFormat="false" ht="14.4" hidden="false" customHeight="false" outlineLevel="0" collapsed="false">
      <c r="A253" s="0" t="n">
        <v>360</v>
      </c>
      <c r="B253" s="0" t="s">
        <v>1350</v>
      </c>
      <c r="C253" s="0" t="s">
        <v>437</v>
      </c>
      <c r="D253" s="0" t="s">
        <v>472</v>
      </c>
      <c r="E253" s="0" t="s">
        <v>1123</v>
      </c>
      <c r="F253" s="0" t="n">
        <v>3301</v>
      </c>
      <c r="G253" s="0" t="s">
        <v>138</v>
      </c>
      <c r="H253" s="0" t="n">
        <v>185</v>
      </c>
      <c r="I253" s="0" t="n">
        <v>146</v>
      </c>
      <c r="J253" s="0" t="n">
        <v>212</v>
      </c>
      <c r="K253" s="0" t="n">
        <v>101</v>
      </c>
      <c r="L253" s="0" t="n">
        <v>295</v>
      </c>
      <c r="M253" s="0" t="n">
        <v>0</v>
      </c>
      <c r="N253" s="0" t="n">
        <v>9</v>
      </c>
      <c r="O253" s="0" t="n">
        <v>82</v>
      </c>
      <c r="P253" s="0" t="n">
        <v>35</v>
      </c>
      <c r="Q253" s="114" t="n">
        <v>67</v>
      </c>
      <c r="R253" s="114" t="n">
        <v>151</v>
      </c>
      <c r="S253" s="114" t="n">
        <v>1.25</v>
      </c>
      <c r="T253" s="114" t="n">
        <v>1.55</v>
      </c>
      <c r="U253" s="114" t="n">
        <v>1.25</v>
      </c>
      <c r="V253" s="114" t="n">
        <v>0</v>
      </c>
      <c r="W253" s="114" t="s">
        <v>1215</v>
      </c>
      <c r="X253" s="114" t="s">
        <v>58</v>
      </c>
      <c r="Y253" s="114" t="s">
        <v>58</v>
      </c>
      <c r="Z253" s="114" t="s">
        <v>58</v>
      </c>
      <c r="AA253" s="0" t="s">
        <v>1216</v>
      </c>
      <c r="AB253" s="0" t="s">
        <v>1351</v>
      </c>
      <c r="AC253" s="0" t="s">
        <v>58</v>
      </c>
      <c r="AD253" s="0" t="s">
        <v>58</v>
      </c>
      <c r="AE253" s="0" t="s">
        <v>531</v>
      </c>
      <c r="AF253" s="0" t="s">
        <v>464</v>
      </c>
      <c r="AG253" s="0" t="s">
        <v>58</v>
      </c>
      <c r="AH253" s="0" t="s">
        <v>58</v>
      </c>
    </row>
    <row r="254" customFormat="false" ht="14.4" hidden="false" customHeight="false" outlineLevel="0" collapsed="false">
      <c r="A254" s="0" t="n">
        <v>189</v>
      </c>
      <c r="B254" s="0" t="s">
        <v>1352</v>
      </c>
      <c r="C254" s="0" t="s">
        <v>429</v>
      </c>
      <c r="D254" s="0" t="s">
        <v>438</v>
      </c>
      <c r="E254" s="0" t="s">
        <v>1123</v>
      </c>
      <c r="F254" s="0" t="n">
        <v>4015</v>
      </c>
      <c r="G254" s="0" t="s">
        <v>140</v>
      </c>
      <c r="H254" s="0" t="n">
        <v>189</v>
      </c>
      <c r="I254" s="0" t="n">
        <v>201</v>
      </c>
      <c r="J254" s="0" t="n">
        <v>187</v>
      </c>
      <c r="K254" s="0" t="n">
        <v>82</v>
      </c>
      <c r="L254" s="0" t="n">
        <v>186</v>
      </c>
      <c r="M254" s="0" t="n">
        <v>0</v>
      </c>
      <c r="N254" s="0" t="n">
        <v>11</v>
      </c>
      <c r="O254" s="0" t="n">
        <v>45</v>
      </c>
      <c r="P254" s="0" t="n">
        <v>29</v>
      </c>
      <c r="Q254" s="114" t="n">
        <v>13</v>
      </c>
      <c r="R254" s="114" t="n">
        <v>149</v>
      </c>
      <c r="S254" s="114" t="n">
        <v>1.1</v>
      </c>
      <c r="T254" s="114" t="n">
        <v>1.6</v>
      </c>
      <c r="U254" s="114" t="n">
        <v>1</v>
      </c>
      <c r="V254" s="114" t="n">
        <v>0</v>
      </c>
      <c r="W254" s="0" t="s">
        <v>1353</v>
      </c>
      <c r="X254" s="114" t="s">
        <v>58</v>
      </c>
      <c r="Y254" s="114" t="s">
        <v>58</v>
      </c>
      <c r="Z254" s="114" t="s">
        <v>58</v>
      </c>
      <c r="AA254" s="0" t="s">
        <v>1135</v>
      </c>
      <c r="AB254" s="0" t="s">
        <v>1354</v>
      </c>
      <c r="AC254" s="0" t="s">
        <v>1355</v>
      </c>
      <c r="AD254" s="0" t="s">
        <v>58</v>
      </c>
      <c r="AE254" s="0" t="s">
        <v>490</v>
      </c>
      <c r="AF254" s="0" t="s">
        <v>1356</v>
      </c>
      <c r="AG254" s="0" t="s">
        <v>464</v>
      </c>
      <c r="AH254" s="0" t="s">
        <v>58</v>
      </c>
    </row>
    <row r="255" customFormat="false" ht="14.4" hidden="false" customHeight="false" outlineLevel="0" collapsed="false">
      <c r="A255" s="0" t="n">
        <v>188</v>
      </c>
      <c r="B255" s="0" t="s">
        <v>1357</v>
      </c>
      <c r="C255" s="0" t="s">
        <v>429</v>
      </c>
      <c r="D255" s="0" t="s">
        <v>438</v>
      </c>
      <c r="E255" s="0" t="s">
        <v>1123</v>
      </c>
      <c r="F255" s="0" t="n">
        <v>4015</v>
      </c>
      <c r="G255" s="0" t="s">
        <v>140</v>
      </c>
      <c r="H255" s="0" t="n">
        <v>189</v>
      </c>
      <c r="I255" s="0" t="n">
        <v>201</v>
      </c>
      <c r="J255" s="0" t="n">
        <v>185</v>
      </c>
      <c r="K255" s="0" t="n">
        <v>82</v>
      </c>
      <c r="L255" s="0" t="n">
        <v>186</v>
      </c>
      <c r="M255" s="0" t="n">
        <v>0</v>
      </c>
      <c r="N255" s="0" t="n">
        <v>11</v>
      </c>
      <c r="O255" s="0" t="n">
        <v>45</v>
      </c>
      <c r="P255" s="0" t="n">
        <v>29</v>
      </c>
      <c r="Q255" s="114" t="n">
        <v>14</v>
      </c>
      <c r="R255" s="114" t="n">
        <v>149</v>
      </c>
      <c r="S255" s="114" t="n">
        <v>1.1</v>
      </c>
      <c r="T255" s="114" t="n">
        <v>1.6</v>
      </c>
      <c r="U255" s="114" t="n">
        <v>1.05</v>
      </c>
      <c r="V255" s="114" t="n">
        <v>0</v>
      </c>
      <c r="W255" s="0" t="s">
        <v>1353</v>
      </c>
      <c r="X255" s="114" t="s">
        <v>58</v>
      </c>
      <c r="Y255" s="114" t="s">
        <v>58</v>
      </c>
      <c r="Z255" s="114" t="s">
        <v>58</v>
      </c>
      <c r="AA255" s="0" t="s">
        <v>590</v>
      </c>
      <c r="AB255" s="0" t="s">
        <v>1354</v>
      </c>
      <c r="AC255" s="0" t="s">
        <v>1358</v>
      </c>
      <c r="AD255" s="0" t="s">
        <v>58</v>
      </c>
      <c r="AE255" s="0" t="s">
        <v>592</v>
      </c>
      <c r="AF255" s="0" t="s">
        <v>1356</v>
      </c>
      <c r="AG255" s="0" t="s">
        <v>464</v>
      </c>
      <c r="AH255" s="0" t="s">
        <v>58</v>
      </c>
    </row>
    <row r="256" customFormat="false" ht="14.4" hidden="false" customHeight="false" outlineLevel="0" collapsed="false">
      <c r="A256" s="0" t="n">
        <v>329</v>
      </c>
      <c r="B256" s="0" t="s">
        <v>396</v>
      </c>
      <c r="C256" s="0" t="s">
        <v>437</v>
      </c>
      <c r="D256" s="0" t="s">
        <v>430</v>
      </c>
      <c r="E256" s="0" t="s">
        <v>1123</v>
      </c>
      <c r="F256" s="0" t="n">
        <v>4361</v>
      </c>
      <c r="G256" s="0" t="s">
        <v>138</v>
      </c>
      <c r="H256" s="0" t="n">
        <v>193</v>
      </c>
      <c r="I256" s="0" t="n">
        <v>170</v>
      </c>
      <c r="J256" s="0" t="n">
        <v>0</v>
      </c>
      <c r="K256" s="0" t="n">
        <v>92</v>
      </c>
      <c r="L256" s="0" t="n">
        <v>333</v>
      </c>
      <c r="M256" s="0" t="n">
        <v>0</v>
      </c>
      <c r="N256" s="0" t="n">
        <v>11</v>
      </c>
      <c r="O256" s="0" t="n">
        <v>104</v>
      </c>
      <c r="P256" s="0" t="n">
        <v>32</v>
      </c>
      <c r="Q256" s="114" t="n">
        <v>72</v>
      </c>
      <c r="R256" s="114" t="n">
        <v>163</v>
      </c>
      <c r="S256" s="114" t="n">
        <v>1.3</v>
      </c>
      <c r="T256" s="114" t="n">
        <v>0.7</v>
      </c>
      <c r="U256" s="114" t="n">
        <v>1.2</v>
      </c>
      <c r="V256" s="114" t="n">
        <v>0</v>
      </c>
      <c r="W256" s="114" t="s">
        <v>1175</v>
      </c>
      <c r="X256" s="114" t="s">
        <v>58</v>
      </c>
      <c r="Y256" s="114" t="s">
        <v>58</v>
      </c>
      <c r="Z256" s="114" t="s">
        <v>58</v>
      </c>
      <c r="AA256" s="0" t="s">
        <v>1359</v>
      </c>
      <c r="AB256" s="0" t="s">
        <v>701</v>
      </c>
      <c r="AC256" s="0" t="s">
        <v>1227</v>
      </c>
      <c r="AD256" s="0" t="s">
        <v>58</v>
      </c>
      <c r="AE256" s="0" t="s">
        <v>1360</v>
      </c>
      <c r="AF256" s="0" t="s">
        <v>702</v>
      </c>
      <c r="AG256" s="0" t="s">
        <v>464</v>
      </c>
      <c r="AH256" s="0" t="s">
        <v>58</v>
      </c>
    </row>
    <row r="257" customFormat="false" ht="14.4" hidden="false" customHeight="false" outlineLevel="0" collapsed="false">
      <c r="A257" s="0" t="n">
        <v>182</v>
      </c>
      <c r="B257" s="0" t="s">
        <v>1361</v>
      </c>
      <c r="C257" s="0" t="s">
        <v>429</v>
      </c>
      <c r="D257" s="0" t="s">
        <v>527</v>
      </c>
      <c r="E257" s="0" t="s">
        <v>1123</v>
      </c>
      <c r="F257" s="0" t="n">
        <v>2891</v>
      </c>
      <c r="G257" s="0" t="s">
        <v>138</v>
      </c>
      <c r="H257" s="0" t="n">
        <v>173</v>
      </c>
      <c r="I257" s="0" t="n">
        <v>140</v>
      </c>
      <c r="J257" s="0" t="n">
        <v>279</v>
      </c>
      <c r="K257" s="0" t="n">
        <v>105</v>
      </c>
      <c r="L257" s="0" t="n">
        <v>278</v>
      </c>
      <c r="M257" s="0" t="n">
        <v>0</v>
      </c>
      <c r="N257" s="0" t="n">
        <v>8</v>
      </c>
      <c r="O257" s="0" t="n">
        <v>84</v>
      </c>
      <c r="P257" s="0" t="n">
        <v>36</v>
      </c>
      <c r="Q257" s="114" t="n">
        <v>36</v>
      </c>
      <c r="R257" s="114" t="n">
        <v>145</v>
      </c>
      <c r="S257" s="114" t="n">
        <v>1.1</v>
      </c>
      <c r="T257" s="114" t="n">
        <v>1.6</v>
      </c>
      <c r="U257" s="114" t="n">
        <v>1.25</v>
      </c>
      <c r="V257" s="114" t="n">
        <v>0</v>
      </c>
      <c r="W257" s="0" t="s">
        <v>1124</v>
      </c>
      <c r="X257" s="114" t="s">
        <v>58</v>
      </c>
      <c r="Y257" s="114" t="s">
        <v>58</v>
      </c>
      <c r="Z257" s="114" t="s">
        <v>58</v>
      </c>
      <c r="AA257" s="0" t="s">
        <v>590</v>
      </c>
      <c r="AB257" s="0" t="s">
        <v>1125</v>
      </c>
      <c r="AC257" s="0" t="s">
        <v>58</v>
      </c>
      <c r="AD257" s="0" t="s">
        <v>58</v>
      </c>
      <c r="AE257" s="0" t="s">
        <v>592</v>
      </c>
      <c r="AF257" s="0" t="s">
        <v>464</v>
      </c>
      <c r="AG257" s="0" t="s">
        <v>58</v>
      </c>
      <c r="AH257" s="0" t="s">
        <v>58</v>
      </c>
    </row>
    <row r="258" customFormat="false" ht="14.4" hidden="false" customHeight="false" outlineLevel="0" collapsed="false">
      <c r="A258" s="0" t="n">
        <v>310</v>
      </c>
      <c r="B258" s="0" t="s">
        <v>1362</v>
      </c>
      <c r="C258" s="0" t="s">
        <v>429</v>
      </c>
      <c r="D258" s="0" t="s">
        <v>472</v>
      </c>
      <c r="E258" s="0" t="s">
        <v>1123</v>
      </c>
      <c r="F258" s="0" t="n">
        <v>2540</v>
      </c>
      <c r="G258" s="0" t="s">
        <v>138</v>
      </c>
      <c r="H258" s="0" t="n">
        <v>185</v>
      </c>
      <c r="I258" s="0" t="n">
        <v>151</v>
      </c>
      <c r="J258" s="0" t="n">
        <v>337</v>
      </c>
      <c r="K258" s="0" t="n">
        <v>108</v>
      </c>
      <c r="L258" s="0" t="n">
        <v>286</v>
      </c>
      <c r="M258" s="0" t="n">
        <v>0</v>
      </c>
      <c r="N258" s="0" t="n">
        <v>9</v>
      </c>
      <c r="O258" s="0" t="n">
        <v>104</v>
      </c>
      <c r="P258" s="0" t="n">
        <v>35</v>
      </c>
      <c r="Q258" s="114" t="n">
        <v>53</v>
      </c>
      <c r="R258" s="114" t="n">
        <v>151</v>
      </c>
      <c r="S258" s="114" t="n">
        <v>1.2</v>
      </c>
      <c r="T258" s="114" t="n">
        <v>1.65</v>
      </c>
      <c r="U258" s="114" t="n">
        <v>1.15</v>
      </c>
      <c r="V258" s="114" t="n">
        <v>0</v>
      </c>
      <c r="W258" s="0" t="s">
        <v>1293</v>
      </c>
      <c r="X258" s="114" t="s">
        <v>58</v>
      </c>
      <c r="Y258" s="114" t="s">
        <v>58</v>
      </c>
      <c r="Z258" s="114" t="s">
        <v>58</v>
      </c>
      <c r="AA258" s="0" t="s">
        <v>1363</v>
      </c>
      <c r="AB258" s="0" t="s">
        <v>1364</v>
      </c>
      <c r="AC258" s="0" t="s">
        <v>58</v>
      </c>
      <c r="AD258" s="0" t="s">
        <v>58</v>
      </c>
      <c r="AE258" s="0" t="s">
        <v>1365</v>
      </c>
      <c r="AF258" s="0" t="s">
        <v>464</v>
      </c>
      <c r="AG258" s="0" t="s">
        <v>58</v>
      </c>
      <c r="AH258" s="0" t="s">
        <v>58</v>
      </c>
    </row>
    <row r="259" customFormat="false" ht="14.4" hidden="false" customHeight="false" outlineLevel="0" collapsed="false">
      <c r="A259" s="0" t="s">
        <v>1366</v>
      </c>
      <c r="B259" s="0" t="s">
        <v>1367</v>
      </c>
      <c r="C259" s="0" t="s">
        <v>562</v>
      </c>
      <c r="D259" s="0" t="s">
        <v>438</v>
      </c>
      <c r="E259" s="0" t="s">
        <v>1123</v>
      </c>
      <c r="F259" s="0" t="n">
        <v>3430</v>
      </c>
      <c r="G259" s="0" t="s">
        <v>138</v>
      </c>
      <c r="H259" s="0" t="n">
        <v>171</v>
      </c>
      <c r="I259" s="0" t="n">
        <v>153</v>
      </c>
      <c r="J259" s="0" t="n">
        <v>289</v>
      </c>
      <c r="K259" s="0" t="n">
        <v>100</v>
      </c>
      <c r="L259" s="0" t="n">
        <v>303</v>
      </c>
      <c r="M259" s="0" t="n">
        <v>0</v>
      </c>
      <c r="N259" s="0" t="n">
        <v>10</v>
      </c>
      <c r="O259" s="0" t="n">
        <v>122</v>
      </c>
      <c r="P259" s="0" t="n">
        <v>31</v>
      </c>
      <c r="Q259" s="114" t="n">
        <v>73</v>
      </c>
      <c r="R259" s="114" t="n">
        <v>154</v>
      </c>
      <c r="S259" s="114" t="n">
        <v>1.4</v>
      </c>
      <c r="T259" s="114" t="n">
        <v>1.5</v>
      </c>
      <c r="U259" s="114" t="n">
        <v>1</v>
      </c>
      <c r="V259" s="114" t="n">
        <v>0</v>
      </c>
      <c r="W259" s="114" t="s">
        <v>58</v>
      </c>
      <c r="X259" s="114" t="s">
        <v>58</v>
      </c>
      <c r="Y259" s="114" t="s">
        <v>58</v>
      </c>
      <c r="Z259" s="114" t="s">
        <v>58</v>
      </c>
      <c r="AA259" s="0" t="s">
        <v>1368</v>
      </c>
      <c r="AB259" s="0" t="s">
        <v>58</v>
      </c>
      <c r="AC259" s="0" t="s">
        <v>58</v>
      </c>
      <c r="AD259" s="0" t="s">
        <v>58</v>
      </c>
      <c r="AE259" s="0" t="s">
        <v>1369</v>
      </c>
      <c r="AF259" s="0" t="s">
        <v>58</v>
      </c>
      <c r="AG259" s="0" t="s">
        <v>58</v>
      </c>
      <c r="AH259" s="0" t="s">
        <v>58</v>
      </c>
    </row>
    <row r="260" customFormat="false" ht="14.4" hidden="false" customHeight="false" outlineLevel="0" collapsed="false">
      <c r="A260" s="0" t="s">
        <v>1370</v>
      </c>
      <c r="B260" s="0" t="s">
        <v>1371</v>
      </c>
      <c r="C260" s="0" t="s">
        <v>471</v>
      </c>
      <c r="D260" s="0" t="s">
        <v>1344</v>
      </c>
      <c r="E260" s="0" t="s">
        <v>1123</v>
      </c>
      <c r="F260" s="0" t="n">
        <v>4637</v>
      </c>
      <c r="G260" s="0" t="s">
        <v>138</v>
      </c>
      <c r="H260" s="0" t="n">
        <v>164</v>
      </c>
      <c r="I260" s="0" t="n">
        <v>172</v>
      </c>
      <c r="J260" s="0" t="n">
        <v>352</v>
      </c>
      <c r="K260" s="0" t="n">
        <v>98</v>
      </c>
      <c r="L260" s="0" t="n">
        <v>363</v>
      </c>
      <c r="M260" s="0" t="n">
        <v>0</v>
      </c>
      <c r="N260" s="0" t="n">
        <v>12</v>
      </c>
      <c r="O260" s="0" t="n">
        <v>152</v>
      </c>
      <c r="P260" s="0" t="n">
        <v>33</v>
      </c>
      <c r="Q260" s="114" t="n">
        <v>0</v>
      </c>
      <c r="R260" s="114" t="n">
        <v>158</v>
      </c>
      <c r="S260" s="114" t="n">
        <v>1.5</v>
      </c>
      <c r="T260" s="114" t="n">
        <v>1.6</v>
      </c>
      <c r="U260" s="114" t="n">
        <v>1</v>
      </c>
      <c r="V260" s="114" t="n">
        <v>0</v>
      </c>
      <c r="W260" s="0" t="s">
        <v>1372</v>
      </c>
      <c r="X260" s="114" t="s">
        <v>58</v>
      </c>
      <c r="Y260" s="114" t="s">
        <v>58</v>
      </c>
      <c r="Z260" s="114" t="s">
        <v>58</v>
      </c>
      <c r="AA260" s="0" t="s">
        <v>1373</v>
      </c>
      <c r="AB260" s="0" t="s">
        <v>1374</v>
      </c>
      <c r="AC260" s="0" t="s">
        <v>818</v>
      </c>
      <c r="AD260" s="0" t="s">
        <v>1375</v>
      </c>
      <c r="AE260" s="0" t="s">
        <v>1376</v>
      </c>
      <c r="AF260" s="0" t="s">
        <v>1377</v>
      </c>
      <c r="AG260" s="0" t="s">
        <v>822</v>
      </c>
      <c r="AH260" s="0" t="s">
        <v>464</v>
      </c>
    </row>
    <row r="261" customFormat="false" ht="14.4" hidden="false" customHeight="false" outlineLevel="0" collapsed="false">
      <c r="A261" s="0" t="n">
        <v>361</v>
      </c>
      <c r="B261" s="0" t="s">
        <v>1378</v>
      </c>
      <c r="C261" s="0" t="s">
        <v>471</v>
      </c>
      <c r="D261" s="0" t="s">
        <v>472</v>
      </c>
      <c r="E261" s="0" t="s">
        <v>1123</v>
      </c>
      <c r="F261" s="0" t="n">
        <v>3688</v>
      </c>
      <c r="G261" s="0" t="s">
        <v>138</v>
      </c>
      <c r="H261" s="0" t="n">
        <v>179</v>
      </c>
      <c r="I261" s="0" t="n">
        <v>145</v>
      </c>
      <c r="J261" s="0" t="n">
        <v>285</v>
      </c>
      <c r="K261" s="0" t="n">
        <v>100</v>
      </c>
      <c r="L261" s="0" t="n">
        <v>347</v>
      </c>
      <c r="M261" s="0" t="n">
        <v>0</v>
      </c>
      <c r="N261" s="0" t="n">
        <v>9</v>
      </c>
      <c r="O261" s="0" t="n">
        <v>84</v>
      </c>
      <c r="P261" s="0" t="n">
        <v>32</v>
      </c>
      <c r="Q261" s="114" t="n">
        <v>78</v>
      </c>
      <c r="R261" s="114" t="n">
        <v>160</v>
      </c>
      <c r="S261" s="114" t="n">
        <v>1.4</v>
      </c>
      <c r="T261" s="114" t="n">
        <v>1.25</v>
      </c>
      <c r="U261" s="114" t="n">
        <v>1.45</v>
      </c>
      <c r="V261" s="114" t="n">
        <v>0</v>
      </c>
      <c r="W261" s="0" t="s">
        <v>1258</v>
      </c>
      <c r="X261" s="114" t="s">
        <v>58</v>
      </c>
      <c r="Y261" s="114" t="s">
        <v>58</v>
      </c>
      <c r="Z261" s="114" t="s">
        <v>58</v>
      </c>
      <c r="AA261" s="0" t="s">
        <v>987</v>
      </c>
      <c r="AB261" s="0" t="s">
        <v>1379</v>
      </c>
      <c r="AC261" s="0" t="s">
        <v>1380</v>
      </c>
      <c r="AD261" s="0" t="s">
        <v>58</v>
      </c>
      <c r="AE261" s="0" t="s">
        <v>702</v>
      </c>
      <c r="AF261" s="0" t="s">
        <v>949</v>
      </c>
      <c r="AG261" s="0" t="s">
        <v>464</v>
      </c>
      <c r="AH261" s="0" t="s">
        <v>58</v>
      </c>
    </row>
    <row r="262" customFormat="false" ht="14.4" hidden="false" customHeight="false" outlineLevel="0" collapsed="false">
      <c r="A262" s="0" t="n">
        <v>3361</v>
      </c>
      <c r="B262" s="0" t="s">
        <v>1381</v>
      </c>
      <c r="C262" s="0" t="s">
        <v>471</v>
      </c>
      <c r="D262" s="0" t="s">
        <v>438</v>
      </c>
      <c r="E262" s="0" t="s">
        <v>1123</v>
      </c>
      <c r="F262" s="0" t="n">
        <v>3928</v>
      </c>
      <c r="G262" s="0" t="s">
        <v>138</v>
      </c>
      <c r="H262" s="0" t="n">
        <v>194</v>
      </c>
      <c r="I262" s="0" t="n">
        <v>175</v>
      </c>
      <c r="J262" s="0" t="n">
        <v>285</v>
      </c>
      <c r="K262" s="0" t="n">
        <v>100</v>
      </c>
      <c r="L262" s="0" t="n">
        <v>387</v>
      </c>
      <c r="M262" s="0" t="n">
        <v>0</v>
      </c>
      <c r="N262" s="0" t="n">
        <v>9</v>
      </c>
      <c r="O262" s="0" t="n">
        <v>84</v>
      </c>
      <c r="P262" s="0" t="n">
        <v>32</v>
      </c>
      <c r="Q262" s="114" t="n">
        <v>78</v>
      </c>
      <c r="R262" s="114" t="n">
        <v>165</v>
      </c>
      <c r="S262" s="114" t="n">
        <v>1.55</v>
      </c>
      <c r="T262" s="114" t="n">
        <v>1.25</v>
      </c>
      <c r="U262" s="114" t="n">
        <v>1.45</v>
      </c>
      <c r="V262" s="114" t="n">
        <v>0</v>
      </c>
      <c r="W262" s="0" t="s">
        <v>1258</v>
      </c>
      <c r="X262" s="114" t="s">
        <v>58</v>
      </c>
      <c r="Y262" s="114" t="s">
        <v>58</v>
      </c>
      <c r="Z262" s="114" t="s">
        <v>58</v>
      </c>
      <c r="AA262" s="0" t="s">
        <v>987</v>
      </c>
      <c r="AB262" s="0" t="s">
        <v>1379</v>
      </c>
      <c r="AC262" s="0" t="s">
        <v>1382</v>
      </c>
      <c r="AD262" s="0" t="s">
        <v>1380</v>
      </c>
      <c r="AE262" s="0" t="s">
        <v>702</v>
      </c>
      <c r="AF262" s="0" t="s">
        <v>949</v>
      </c>
      <c r="AG262" s="0" t="s">
        <v>1383</v>
      </c>
      <c r="AH262" s="0" t="s">
        <v>464</v>
      </c>
    </row>
    <row r="263" customFormat="false" ht="14.4" hidden="false" customHeight="false" outlineLevel="0" collapsed="false">
      <c r="A263" s="0" t="n">
        <v>258</v>
      </c>
      <c r="B263" s="0" t="s">
        <v>1384</v>
      </c>
      <c r="C263" s="0" t="s">
        <v>497</v>
      </c>
      <c r="D263" s="0" t="s">
        <v>438</v>
      </c>
      <c r="E263" s="0" t="s">
        <v>1123</v>
      </c>
      <c r="F263" s="0" t="n">
        <v>1982</v>
      </c>
      <c r="G263" s="0" t="s">
        <v>138</v>
      </c>
      <c r="H263" s="0" t="n">
        <v>182</v>
      </c>
      <c r="I263" s="0" t="n">
        <v>146</v>
      </c>
      <c r="J263" s="0" t="n">
        <v>234</v>
      </c>
      <c r="K263" s="0" t="n">
        <v>75</v>
      </c>
      <c r="L263" s="0" t="n">
        <v>289</v>
      </c>
      <c r="M263" s="0" t="n">
        <v>0</v>
      </c>
      <c r="N263" s="0" t="n">
        <v>10</v>
      </c>
      <c r="O263" s="0" t="n">
        <v>75</v>
      </c>
      <c r="P263" s="0" t="n">
        <v>23</v>
      </c>
      <c r="Q263" s="114" t="n">
        <v>51</v>
      </c>
      <c r="R263" s="114" t="n">
        <v>152</v>
      </c>
      <c r="S263" s="114" t="n">
        <v>1.3</v>
      </c>
      <c r="T263" s="114" t="n">
        <v>1.55</v>
      </c>
      <c r="U263" s="114" t="n">
        <v>1.3</v>
      </c>
      <c r="V263" s="114" t="n">
        <v>0</v>
      </c>
      <c r="W263" s="0" t="s">
        <v>1385</v>
      </c>
      <c r="X263" s="114" t="s">
        <v>58</v>
      </c>
      <c r="Y263" s="114" t="s">
        <v>58</v>
      </c>
      <c r="Z263" s="114" t="s">
        <v>58</v>
      </c>
      <c r="AA263" s="0" t="s">
        <v>1386</v>
      </c>
      <c r="AB263" s="0" t="s">
        <v>1387</v>
      </c>
      <c r="AC263" s="0" t="s">
        <v>1388</v>
      </c>
      <c r="AD263" s="0" t="s">
        <v>58</v>
      </c>
      <c r="AE263" s="0" t="s">
        <v>1389</v>
      </c>
      <c r="AF263" s="0" t="s">
        <v>1390</v>
      </c>
      <c r="AG263" s="0" t="s">
        <v>464</v>
      </c>
      <c r="AH263" s="0" t="s">
        <v>58</v>
      </c>
    </row>
    <row r="264" customFormat="false" ht="14.4" hidden="false" customHeight="false" outlineLevel="0" collapsed="false">
      <c r="A264" s="0" t="n">
        <v>3258</v>
      </c>
      <c r="B264" s="0" t="s">
        <v>1391</v>
      </c>
      <c r="C264" s="0" t="s">
        <v>497</v>
      </c>
      <c r="D264" s="0" t="s">
        <v>430</v>
      </c>
      <c r="E264" s="0" t="s">
        <v>1123</v>
      </c>
      <c r="F264" s="0" t="n">
        <v>2192</v>
      </c>
      <c r="G264" s="0" t="s">
        <v>138</v>
      </c>
      <c r="H264" s="0" t="n">
        <v>187</v>
      </c>
      <c r="I264" s="0" t="n">
        <v>201</v>
      </c>
      <c r="J264" s="0" t="n">
        <v>234</v>
      </c>
      <c r="K264" s="0" t="n">
        <v>110</v>
      </c>
      <c r="L264" s="0" t="n">
        <v>304</v>
      </c>
      <c r="M264" s="0" t="n">
        <v>0</v>
      </c>
      <c r="N264" s="0" t="n">
        <v>10</v>
      </c>
      <c r="O264" s="0" t="n">
        <v>75</v>
      </c>
      <c r="P264" s="0" t="n">
        <v>23</v>
      </c>
      <c r="Q264" s="114" t="n">
        <v>51</v>
      </c>
      <c r="R264" s="114" t="n">
        <v>152</v>
      </c>
      <c r="S264" s="114" t="n">
        <v>1.45</v>
      </c>
      <c r="T264" s="114" t="n">
        <v>1.55</v>
      </c>
      <c r="U264" s="114" t="n">
        <v>1.35</v>
      </c>
      <c r="V264" s="114" t="n">
        <v>0</v>
      </c>
      <c r="W264" s="0" t="s">
        <v>1385</v>
      </c>
      <c r="X264" s="114" t="s">
        <v>58</v>
      </c>
      <c r="Y264" s="114" t="s">
        <v>58</v>
      </c>
      <c r="Z264" s="114" t="s">
        <v>58</v>
      </c>
      <c r="AA264" s="0" t="s">
        <v>1386</v>
      </c>
      <c r="AB264" s="0" t="s">
        <v>1387</v>
      </c>
      <c r="AC264" s="0" t="s">
        <v>1392</v>
      </c>
      <c r="AD264" s="0" t="s">
        <v>1388</v>
      </c>
      <c r="AE264" s="0" t="s">
        <v>1389</v>
      </c>
      <c r="AF264" s="0" t="s">
        <v>1390</v>
      </c>
      <c r="AG264" s="0" t="s">
        <v>1393</v>
      </c>
      <c r="AH264" s="0" t="s">
        <v>464</v>
      </c>
    </row>
    <row r="265" customFormat="false" ht="14.4" hidden="false" customHeight="false" outlineLevel="0" collapsed="false">
      <c r="A265" s="0" t="n">
        <v>322</v>
      </c>
      <c r="B265" s="0" t="s">
        <v>1394</v>
      </c>
      <c r="C265" s="0" t="s">
        <v>429</v>
      </c>
      <c r="D265" s="0" t="s">
        <v>430</v>
      </c>
      <c r="E265" s="0" t="s">
        <v>1123</v>
      </c>
      <c r="F265" s="0" t="n">
        <v>3278</v>
      </c>
      <c r="G265" s="0" t="s">
        <v>138</v>
      </c>
      <c r="H265" s="0" t="n">
        <v>181</v>
      </c>
      <c r="I265" s="0" t="n">
        <v>175</v>
      </c>
      <c r="J265" s="0" t="n">
        <v>373</v>
      </c>
      <c r="K265" s="0" t="n">
        <v>104</v>
      </c>
      <c r="L265" s="0" t="n">
        <v>333</v>
      </c>
      <c r="M265" s="0" t="n">
        <v>0</v>
      </c>
      <c r="N265" s="0" t="n">
        <v>10</v>
      </c>
      <c r="O265" s="0" t="n">
        <v>97</v>
      </c>
      <c r="P265" s="0" t="n">
        <v>35</v>
      </c>
      <c r="Q265" s="0" t="n">
        <v>55</v>
      </c>
      <c r="R265" s="0" t="n">
        <v>171</v>
      </c>
      <c r="S265" s="114" t="n">
        <v>1.25</v>
      </c>
      <c r="T265" s="114" t="n">
        <v>1.75</v>
      </c>
      <c r="U265" s="114" t="n">
        <v>1.1</v>
      </c>
      <c r="V265" s="114" t="n">
        <v>0</v>
      </c>
      <c r="W265" s="0" t="s">
        <v>1395</v>
      </c>
      <c r="X265" s="0" t="s">
        <v>1396</v>
      </c>
      <c r="Y265" s="114" t="s">
        <v>58</v>
      </c>
      <c r="Z265" s="114" t="s">
        <v>58</v>
      </c>
      <c r="AA265" s="114" t="s">
        <v>1397</v>
      </c>
      <c r="AB265" s="114" t="s">
        <v>1398</v>
      </c>
      <c r="AC265" s="114" t="s">
        <v>1399</v>
      </c>
      <c r="AD265" s="0" t="s">
        <v>58</v>
      </c>
      <c r="AE265" s="114" t="s">
        <v>1400</v>
      </c>
      <c r="AF265" s="114" t="s">
        <v>1401</v>
      </c>
      <c r="AG265" s="0" t="s">
        <v>464</v>
      </c>
      <c r="AH265" s="0" t="s">
        <v>58</v>
      </c>
    </row>
    <row r="266" customFormat="false" ht="15" hidden="false" customHeight="true" outlineLevel="0" collapsed="false">
      <c r="B266" s="0" t="s">
        <v>1402</v>
      </c>
      <c r="C266" s="0" t="s">
        <v>1065</v>
      </c>
      <c r="D266" s="0" t="s">
        <v>443</v>
      </c>
      <c r="E266" s="0" t="s">
        <v>1123</v>
      </c>
      <c r="F266" s="0" t="n">
        <v>3811</v>
      </c>
      <c r="G266" s="0" t="s">
        <v>138</v>
      </c>
      <c r="H266" s="0" t="n">
        <v>192</v>
      </c>
      <c r="I266" s="0" t="n">
        <v>176</v>
      </c>
      <c r="J266" s="0" t="n">
        <v>304</v>
      </c>
      <c r="K266" s="0" t="n">
        <v>98</v>
      </c>
      <c r="L266" s="0" t="n">
        <v>403</v>
      </c>
      <c r="M266" s="0" t="n">
        <v>0</v>
      </c>
      <c r="N266" s="0" t="n">
        <v>10</v>
      </c>
      <c r="O266" s="0" t="n">
        <v>101</v>
      </c>
      <c r="P266" s="0" t="n">
        <v>32</v>
      </c>
      <c r="Q266" s="0" t="n">
        <v>80</v>
      </c>
      <c r="R266" s="0" t="n">
        <v>158</v>
      </c>
      <c r="S266" s="114" t="n">
        <v>1.25</v>
      </c>
      <c r="T266" s="114" t="n">
        <v>1.7</v>
      </c>
      <c r="U266" s="114" t="n">
        <v>1.4</v>
      </c>
      <c r="V266" s="114" t="n">
        <v>0</v>
      </c>
      <c r="W266" s="114" t="s">
        <v>1403</v>
      </c>
      <c r="X266" s="0" t="s">
        <v>1331</v>
      </c>
      <c r="Y266" s="114" t="s">
        <v>58</v>
      </c>
      <c r="Z266" s="114" t="s">
        <v>58</v>
      </c>
      <c r="AA266" s="114"/>
      <c r="AB266" s="114"/>
      <c r="AC266" s="114"/>
      <c r="AD266" s="114"/>
      <c r="AE266" s="114"/>
      <c r="AF266" s="114"/>
      <c r="AG266" s="114"/>
      <c r="AH266" s="114"/>
    </row>
    <row r="267" customFormat="false" ht="14.4" hidden="false" customHeight="false" outlineLevel="0" collapsed="false">
      <c r="A267" s="0" t="n">
        <v>29</v>
      </c>
      <c r="B267" s="0" t="s">
        <v>1404</v>
      </c>
      <c r="C267" s="0" t="s">
        <v>437</v>
      </c>
      <c r="D267" s="0" t="s">
        <v>527</v>
      </c>
      <c r="E267" s="0" t="s">
        <v>1123</v>
      </c>
      <c r="F267" s="0" t="n">
        <v>3237</v>
      </c>
      <c r="G267" s="0" t="s">
        <v>138</v>
      </c>
      <c r="H267" s="0" t="n">
        <v>182</v>
      </c>
      <c r="I267" s="0" t="n">
        <v>142</v>
      </c>
      <c r="J267" s="0" t="n">
        <v>207</v>
      </c>
      <c r="K267" s="0" t="n">
        <v>101</v>
      </c>
      <c r="L267" s="0" t="n">
        <v>281</v>
      </c>
      <c r="M267" s="0" t="n">
        <v>0</v>
      </c>
      <c r="N267" s="0" t="n">
        <v>8</v>
      </c>
      <c r="O267" s="0" t="n">
        <v>80</v>
      </c>
      <c r="P267" s="0" t="n">
        <v>35</v>
      </c>
      <c r="Q267" s="114" t="n">
        <v>67</v>
      </c>
      <c r="R267" s="114" t="n">
        <v>151</v>
      </c>
      <c r="S267" s="114" t="n">
        <v>1.2</v>
      </c>
      <c r="T267" s="114" t="n">
        <v>1.55</v>
      </c>
      <c r="U267" s="114" t="n">
        <v>1.3</v>
      </c>
      <c r="V267" s="114" t="n">
        <v>0</v>
      </c>
      <c r="W267" s="114" t="s">
        <v>1215</v>
      </c>
      <c r="X267" s="114" t="s">
        <v>58</v>
      </c>
      <c r="Y267" s="114" t="s">
        <v>58</v>
      </c>
      <c r="Z267" s="114" t="s">
        <v>58</v>
      </c>
      <c r="AA267" s="0" t="s">
        <v>1216</v>
      </c>
      <c r="AB267" s="0" t="s">
        <v>1351</v>
      </c>
      <c r="AC267" s="0" t="s">
        <v>58</v>
      </c>
      <c r="AD267" s="0" t="s">
        <v>58</v>
      </c>
      <c r="AE267" s="0" t="s">
        <v>531</v>
      </c>
      <c r="AF267" s="0" t="s">
        <v>464</v>
      </c>
      <c r="AG267" s="0" t="s">
        <v>58</v>
      </c>
      <c r="AH267" s="0" t="s">
        <v>58</v>
      </c>
    </row>
    <row r="268" customFormat="false" ht="14.4" hidden="false" customHeight="false" outlineLevel="0" collapsed="false">
      <c r="B268" s="0" t="s">
        <v>1405</v>
      </c>
      <c r="C268" s="0" t="s">
        <v>1155</v>
      </c>
      <c r="D268" s="0" t="s">
        <v>443</v>
      </c>
      <c r="E268" s="0" t="s">
        <v>1123</v>
      </c>
      <c r="F268" s="0" t="n">
        <v>3060</v>
      </c>
      <c r="G268" s="0" t="s">
        <v>140</v>
      </c>
      <c r="H268" s="0" t="n">
        <v>139</v>
      </c>
      <c r="I268" s="0" t="n">
        <v>82</v>
      </c>
      <c r="J268" s="0" t="n">
        <v>142</v>
      </c>
      <c r="K268" s="0" t="n">
        <v>87</v>
      </c>
      <c r="L268" s="0" t="n">
        <v>145</v>
      </c>
      <c r="M268" s="0" t="n">
        <v>0</v>
      </c>
      <c r="N268" s="0" t="n">
        <v>10</v>
      </c>
      <c r="O268" s="0" t="n">
        <v>55</v>
      </c>
      <c r="P268" s="0" t="n">
        <v>23</v>
      </c>
      <c r="Q268" s="0" t="n">
        <v>88</v>
      </c>
      <c r="R268" s="0" t="n">
        <v>136</v>
      </c>
      <c r="S268" s="114" t="n">
        <v>1.2</v>
      </c>
      <c r="T268" s="114" t="n">
        <v>1.2</v>
      </c>
      <c r="U268" s="114" t="n">
        <v>0.8</v>
      </c>
      <c r="V268" s="114" t="n">
        <v>0</v>
      </c>
      <c r="W268" s="114" t="s">
        <v>1406</v>
      </c>
      <c r="X268" s="114"/>
      <c r="Y268" s="114"/>
      <c r="Z268" s="114"/>
      <c r="AA268" s="114"/>
      <c r="AB268" s="114"/>
      <c r="AC268" s="114"/>
      <c r="AD268" s="114"/>
      <c r="AE268" s="114"/>
      <c r="AF268" s="114"/>
      <c r="AG268" s="114"/>
      <c r="AH268" s="114"/>
    </row>
    <row r="269" customFormat="false" ht="14.4" hidden="false" customHeight="false" outlineLevel="0" collapsed="false">
      <c r="A269" s="0" t="n">
        <v>32</v>
      </c>
      <c r="B269" s="0" t="s">
        <v>1407</v>
      </c>
      <c r="C269" s="0" t="s">
        <v>437</v>
      </c>
      <c r="D269" s="0" t="s">
        <v>472</v>
      </c>
      <c r="E269" s="0" t="s">
        <v>1123</v>
      </c>
      <c r="F269" s="0" t="n">
        <v>3470</v>
      </c>
      <c r="G269" s="0" t="s">
        <v>138</v>
      </c>
      <c r="H269" s="0" t="n">
        <v>181</v>
      </c>
      <c r="I269" s="0" t="n">
        <v>164</v>
      </c>
      <c r="J269" s="0" t="n">
        <v>0</v>
      </c>
      <c r="K269" s="0" t="n">
        <v>90</v>
      </c>
      <c r="L269" s="0" t="n">
        <v>307</v>
      </c>
      <c r="M269" s="0" t="n">
        <v>0</v>
      </c>
      <c r="N269" s="0" t="n">
        <v>9</v>
      </c>
      <c r="O269" s="0" t="n">
        <v>95</v>
      </c>
      <c r="P269" s="0" t="n">
        <v>32</v>
      </c>
      <c r="Q269" s="114" t="n">
        <v>88</v>
      </c>
      <c r="R269" s="114" t="n">
        <v>158</v>
      </c>
      <c r="S269" s="114" t="n">
        <v>1.35</v>
      </c>
      <c r="T269" s="114" t="n">
        <v>0.65</v>
      </c>
      <c r="U269" s="114" t="n">
        <v>1</v>
      </c>
      <c r="V269" s="114" t="n">
        <v>0</v>
      </c>
      <c r="W269" s="114" t="s">
        <v>1193</v>
      </c>
      <c r="X269" s="114" t="s">
        <v>58</v>
      </c>
      <c r="Y269" s="114" t="s">
        <v>58</v>
      </c>
      <c r="Z269" s="114" t="s">
        <v>58</v>
      </c>
      <c r="AA269" s="0" t="s">
        <v>1408</v>
      </c>
      <c r="AB269" s="0" t="s">
        <v>1195</v>
      </c>
      <c r="AC269" s="0" t="s">
        <v>58</v>
      </c>
      <c r="AD269" s="0" t="s">
        <v>58</v>
      </c>
      <c r="AE269" s="0" t="s">
        <v>1409</v>
      </c>
      <c r="AF269" s="0" t="s">
        <v>464</v>
      </c>
      <c r="AG269" s="0" t="s">
        <v>58</v>
      </c>
      <c r="AH269" s="0" t="s">
        <v>58</v>
      </c>
    </row>
    <row r="270" customFormat="false" ht="14.4" hidden="false" customHeight="false" outlineLevel="0" collapsed="false">
      <c r="A270" s="0" t="n">
        <v>259</v>
      </c>
      <c r="B270" s="0" t="s">
        <v>1410</v>
      </c>
      <c r="C270" s="0" t="s">
        <v>497</v>
      </c>
      <c r="D270" s="0" t="s">
        <v>438</v>
      </c>
      <c r="E270" s="0" t="s">
        <v>1123</v>
      </c>
      <c r="F270" s="0" t="n">
        <v>1950</v>
      </c>
      <c r="G270" s="0" t="s">
        <v>138</v>
      </c>
      <c r="H270" s="0" t="n">
        <v>182</v>
      </c>
      <c r="I270" s="0" t="n">
        <v>146</v>
      </c>
      <c r="J270" s="0" t="n">
        <v>234</v>
      </c>
      <c r="K270" s="0" t="n">
        <v>72</v>
      </c>
      <c r="L270" s="0" t="n">
        <v>257</v>
      </c>
      <c r="M270" s="0" t="n">
        <v>0</v>
      </c>
      <c r="N270" s="0" t="n">
        <v>10</v>
      </c>
      <c r="O270" s="0" t="n">
        <v>75</v>
      </c>
      <c r="P270" s="0" t="n">
        <v>21</v>
      </c>
      <c r="Q270" s="114" t="n">
        <v>47</v>
      </c>
      <c r="R270" s="114" t="n">
        <v>155</v>
      </c>
      <c r="S270" s="114" t="n">
        <v>1.3</v>
      </c>
      <c r="T270" s="114" t="n">
        <v>1.55</v>
      </c>
      <c r="U270" s="114" t="n">
        <v>1.3</v>
      </c>
      <c r="V270" s="114" t="n">
        <v>0</v>
      </c>
      <c r="W270" s="0" t="s">
        <v>1385</v>
      </c>
      <c r="X270" s="114" t="s">
        <v>58</v>
      </c>
      <c r="Y270" s="114" t="s">
        <v>58</v>
      </c>
      <c r="Z270" s="114" t="s">
        <v>58</v>
      </c>
      <c r="AA270" s="0" t="s">
        <v>1411</v>
      </c>
      <c r="AB270" s="0" t="s">
        <v>1387</v>
      </c>
      <c r="AC270" s="0" t="s">
        <v>1388</v>
      </c>
      <c r="AD270" s="0" t="s">
        <v>58</v>
      </c>
      <c r="AE270" s="0" t="s">
        <v>1389</v>
      </c>
      <c r="AF270" s="0" t="s">
        <v>1390</v>
      </c>
      <c r="AG270" s="0" t="s">
        <v>464</v>
      </c>
      <c r="AH270" s="0" t="s">
        <v>58</v>
      </c>
    </row>
    <row r="271" customFormat="false" ht="14.4" hidden="false" customHeight="false" outlineLevel="0" collapsed="false">
      <c r="A271" s="0" t="n">
        <v>3259</v>
      </c>
      <c r="B271" s="0" t="s">
        <v>1412</v>
      </c>
      <c r="C271" s="0" t="s">
        <v>497</v>
      </c>
      <c r="D271" s="0" t="s">
        <v>430</v>
      </c>
      <c r="E271" s="0" t="s">
        <v>1123</v>
      </c>
      <c r="F271" s="0" t="n">
        <v>2160</v>
      </c>
      <c r="G271" s="0" t="s">
        <v>138</v>
      </c>
      <c r="H271" s="0" t="n">
        <v>187</v>
      </c>
      <c r="I271" s="0" t="n">
        <v>201</v>
      </c>
      <c r="J271" s="0" t="n">
        <v>234</v>
      </c>
      <c r="K271" s="0" t="n">
        <v>107</v>
      </c>
      <c r="L271" s="0" t="n">
        <v>272</v>
      </c>
      <c r="M271" s="0" t="n">
        <v>0</v>
      </c>
      <c r="N271" s="0" t="n">
        <v>10</v>
      </c>
      <c r="O271" s="0" t="n">
        <v>75</v>
      </c>
      <c r="P271" s="0" t="n">
        <v>21</v>
      </c>
      <c r="Q271" s="114" t="n">
        <v>47</v>
      </c>
      <c r="R271" s="114" t="n">
        <v>155</v>
      </c>
      <c r="S271" s="114" t="n">
        <v>1.45</v>
      </c>
      <c r="T271" s="114" t="n">
        <v>1.55</v>
      </c>
      <c r="U271" s="114" t="n">
        <v>1.35</v>
      </c>
      <c r="V271" s="114" t="n">
        <v>0</v>
      </c>
      <c r="W271" s="0" t="s">
        <v>1385</v>
      </c>
      <c r="X271" s="114" t="s">
        <v>58</v>
      </c>
      <c r="Y271" s="114" t="s">
        <v>58</v>
      </c>
      <c r="Z271" s="114" t="s">
        <v>58</v>
      </c>
      <c r="AA271" s="0" t="s">
        <v>1411</v>
      </c>
      <c r="AB271" s="0" t="s">
        <v>1387</v>
      </c>
      <c r="AC271" s="0" t="s">
        <v>1392</v>
      </c>
      <c r="AD271" s="0" t="s">
        <v>1388</v>
      </c>
      <c r="AE271" s="0" t="s">
        <v>1389</v>
      </c>
      <c r="AF271" s="0" t="s">
        <v>1390</v>
      </c>
      <c r="AG271" s="0" t="s">
        <v>1393</v>
      </c>
      <c r="AH271" s="0" t="s">
        <v>464</v>
      </c>
    </row>
    <row r="272" customFormat="false" ht="14.4" hidden="false" customHeight="false" outlineLevel="0" collapsed="false">
      <c r="A272" s="0" t="s">
        <v>1413</v>
      </c>
      <c r="B272" s="0" t="s">
        <v>1414</v>
      </c>
      <c r="C272" s="0" t="s">
        <v>562</v>
      </c>
      <c r="D272" s="0" t="s">
        <v>430</v>
      </c>
      <c r="E272" s="0" t="s">
        <v>1123</v>
      </c>
      <c r="F272" s="0" t="n">
        <v>3695</v>
      </c>
      <c r="G272" s="0" t="s">
        <v>138</v>
      </c>
      <c r="H272" s="0" t="n">
        <v>179</v>
      </c>
      <c r="I272" s="0" t="n">
        <v>167</v>
      </c>
      <c r="J272" s="0" t="n">
        <v>310</v>
      </c>
      <c r="K272" s="0" t="n">
        <v>102</v>
      </c>
      <c r="L272" s="0" t="n">
        <v>313</v>
      </c>
      <c r="M272" s="0" t="n">
        <v>0</v>
      </c>
      <c r="N272" s="0" t="n">
        <v>11</v>
      </c>
      <c r="O272" s="0" t="n">
        <v>128</v>
      </c>
      <c r="P272" s="0" t="n">
        <v>31</v>
      </c>
      <c r="Q272" s="114" t="n">
        <v>87</v>
      </c>
      <c r="R272" s="114" t="n">
        <v>155</v>
      </c>
      <c r="S272" s="114" t="n">
        <v>1.45</v>
      </c>
      <c r="T272" s="114" t="n">
        <v>1.5</v>
      </c>
      <c r="U272" s="114" t="n">
        <v>1</v>
      </c>
      <c r="V272" s="114" t="n">
        <v>0</v>
      </c>
      <c r="W272" s="0" t="s">
        <v>1415</v>
      </c>
      <c r="X272" s="0" t="s">
        <v>1416</v>
      </c>
      <c r="Y272" s="0" t="s">
        <v>1417</v>
      </c>
      <c r="Z272" s="114" t="s">
        <v>58</v>
      </c>
      <c r="AA272" s="0" t="s">
        <v>1418</v>
      </c>
      <c r="AB272" s="0" t="s">
        <v>1419</v>
      </c>
      <c r="AC272" s="0" t="s">
        <v>1420</v>
      </c>
      <c r="AD272" s="0" t="s">
        <v>58</v>
      </c>
      <c r="AE272" s="0" t="s">
        <v>1421</v>
      </c>
      <c r="AF272" s="0" t="s">
        <v>1422</v>
      </c>
      <c r="AG272" s="0" t="s">
        <v>1415</v>
      </c>
      <c r="AH272" s="0" t="s">
        <v>58</v>
      </c>
    </row>
    <row r="273" customFormat="false" ht="14.4" hidden="false" customHeight="false" outlineLevel="0" collapsed="false">
      <c r="A273" s="0" t="n">
        <v>30</v>
      </c>
      <c r="B273" s="0" t="s">
        <v>1423</v>
      </c>
      <c r="C273" s="0" t="s">
        <v>437</v>
      </c>
      <c r="D273" s="0" t="s">
        <v>527</v>
      </c>
      <c r="E273" s="0" t="s">
        <v>1123</v>
      </c>
      <c r="F273" s="0" t="n">
        <v>3237</v>
      </c>
      <c r="G273" s="0" t="s">
        <v>138</v>
      </c>
      <c r="H273" s="0" t="n">
        <v>182</v>
      </c>
      <c r="I273" s="0" t="n">
        <v>142</v>
      </c>
      <c r="J273" s="0" t="n">
        <v>207</v>
      </c>
      <c r="K273" s="0" t="n">
        <v>101</v>
      </c>
      <c r="L273" s="0" t="n">
        <v>281</v>
      </c>
      <c r="M273" s="0" t="n">
        <v>0</v>
      </c>
      <c r="N273" s="0" t="n">
        <v>8</v>
      </c>
      <c r="O273" s="0" t="n">
        <v>80</v>
      </c>
      <c r="P273" s="0" t="n">
        <v>35</v>
      </c>
      <c r="Q273" s="114" t="n">
        <v>82</v>
      </c>
      <c r="R273" s="114" t="n">
        <v>151</v>
      </c>
      <c r="S273" s="114" t="n">
        <v>1.2</v>
      </c>
      <c r="T273" s="114" t="n">
        <v>1.55</v>
      </c>
      <c r="U273" s="114" t="n">
        <v>1.3</v>
      </c>
      <c r="V273" s="114" t="n">
        <v>0</v>
      </c>
      <c r="W273" s="114" t="s">
        <v>1215</v>
      </c>
      <c r="X273" s="114" t="s">
        <v>58</v>
      </c>
      <c r="Y273" s="114" t="s">
        <v>58</v>
      </c>
      <c r="Z273" s="114" t="s">
        <v>58</v>
      </c>
      <c r="AA273" s="0" t="s">
        <v>1216</v>
      </c>
      <c r="AB273" s="0" t="s">
        <v>1351</v>
      </c>
      <c r="AC273" s="0" t="s">
        <v>58</v>
      </c>
      <c r="AD273" s="0" t="s">
        <v>58</v>
      </c>
      <c r="AE273" s="0" t="s">
        <v>464</v>
      </c>
      <c r="AF273" s="0" t="s">
        <v>58</v>
      </c>
      <c r="AG273" s="0" t="s">
        <v>58</v>
      </c>
      <c r="AH273" s="0" t="s">
        <v>58</v>
      </c>
    </row>
    <row r="274" customFormat="false" ht="14.4" hidden="false" customHeight="false" outlineLevel="0" collapsed="false">
      <c r="B274" s="0" t="s">
        <v>1424</v>
      </c>
      <c r="C274" s="0" t="s">
        <v>437</v>
      </c>
      <c r="D274" s="0" t="s">
        <v>430</v>
      </c>
      <c r="E274" s="0" t="s">
        <v>1123</v>
      </c>
      <c r="F274" s="0" t="n">
        <v>3755</v>
      </c>
      <c r="G274" s="0" t="s">
        <v>138</v>
      </c>
      <c r="H274" s="0" t="n">
        <v>190</v>
      </c>
      <c r="I274" s="0" t="n">
        <v>148</v>
      </c>
      <c r="J274" s="0" t="n">
        <v>196</v>
      </c>
      <c r="K274" s="0" t="n">
        <v>95</v>
      </c>
      <c r="L274" s="0" t="n">
        <v>479</v>
      </c>
      <c r="M274" s="0" t="n">
        <v>0</v>
      </c>
      <c r="N274" s="0" t="n">
        <v>11</v>
      </c>
      <c r="O274" s="0" t="n">
        <v>203</v>
      </c>
      <c r="P274" s="0" t="n">
        <v>32</v>
      </c>
      <c r="Q274" s="0" t="n">
        <v>52</v>
      </c>
      <c r="R274" s="0" t="n">
        <v>168</v>
      </c>
      <c r="S274" s="114" t="n">
        <v>1.25</v>
      </c>
      <c r="T274" s="114" t="n">
        <v>1.35</v>
      </c>
      <c r="U274" s="114" t="n">
        <v>1.7</v>
      </c>
      <c r="V274" s="114"/>
      <c r="W274" s="114" t="s">
        <v>1425</v>
      </c>
      <c r="X274" s="114"/>
      <c r="Y274" s="114"/>
      <c r="Z274" s="114"/>
      <c r="AA274" s="114"/>
      <c r="AB274" s="114"/>
      <c r="AC274" s="114"/>
      <c r="AD274" s="114"/>
      <c r="AE274" s="114"/>
      <c r="AF274" s="114"/>
      <c r="AG274" s="114"/>
      <c r="AH274" s="114"/>
    </row>
    <row r="275" customFormat="false" ht="14.4" hidden="false" customHeight="false" outlineLevel="0" collapsed="false">
      <c r="A275" s="0" t="n">
        <v>303</v>
      </c>
      <c r="B275" s="0" t="s">
        <v>1426</v>
      </c>
      <c r="C275" s="0" t="s">
        <v>437</v>
      </c>
      <c r="D275" s="0" t="s">
        <v>527</v>
      </c>
      <c r="E275" s="0" t="s">
        <v>1123</v>
      </c>
      <c r="F275" s="0" t="n">
        <v>3237</v>
      </c>
      <c r="G275" s="0" t="s">
        <v>138</v>
      </c>
      <c r="H275" s="0" t="n">
        <v>182</v>
      </c>
      <c r="I275" s="0" t="n">
        <v>142</v>
      </c>
      <c r="J275" s="0" t="n">
        <v>207</v>
      </c>
      <c r="K275" s="0" t="n">
        <v>101</v>
      </c>
      <c r="L275" s="0" t="n">
        <v>281</v>
      </c>
      <c r="M275" s="0" t="n">
        <v>0</v>
      </c>
      <c r="N275" s="0" t="n">
        <v>8</v>
      </c>
      <c r="O275" s="0" t="n">
        <v>92</v>
      </c>
      <c r="P275" s="0" t="n">
        <v>35</v>
      </c>
      <c r="Q275" s="114" t="n">
        <v>69</v>
      </c>
      <c r="R275" s="114" t="n">
        <v>151</v>
      </c>
      <c r="S275" s="114" t="n">
        <v>1.2</v>
      </c>
      <c r="T275" s="114" t="n">
        <v>1.55</v>
      </c>
      <c r="U275" s="114" t="n">
        <v>1.3</v>
      </c>
      <c r="V275" s="114" t="n">
        <v>0</v>
      </c>
      <c r="W275" s="114" t="s">
        <v>1215</v>
      </c>
      <c r="X275" s="114" t="s">
        <v>58</v>
      </c>
      <c r="Y275" s="114" t="s">
        <v>58</v>
      </c>
      <c r="Z275" s="114" t="s">
        <v>58</v>
      </c>
      <c r="AA275" s="0" t="s">
        <v>1427</v>
      </c>
      <c r="AB275" s="0" t="s">
        <v>1428</v>
      </c>
      <c r="AC275" s="0" t="s">
        <v>58</v>
      </c>
      <c r="AD275" s="0" t="s">
        <v>58</v>
      </c>
      <c r="AE275" s="0" t="s">
        <v>464</v>
      </c>
      <c r="AF275" s="0" t="s">
        <v>58</v>
      </c>
      <c r="AG275" s="0" t="s">
        <v>58</v>
      </c>
      <c r="AH275" s="0" t="s">
        <v>58</v>
      </c>
    </row>
    <row r="276" customFormat="false" ht="14.4" hidden="false" customHeight="false" outlineLevel="0" collapsed="false">
      <c r="A276" s="0" t="s">
        <v>1429</v>
      </c>
      <c r="B276" s="0" t="s">
        <v>1430</v>
      </c>
      <c r="C276" s="0" t="s">
        <v>934</v>
      </c>
      <c r="D276" s="0" t="s">
        <v>430</v>
      </c>
      <c r="E276" s="0" t="s">
        <v>1123</v>
      </c>
      <c r="F276" s="0" t="n">
        <v>4106</v>
      </c>
      <c r="G276" s="0" t="s">
        <v>138</v>
      </c>
      <c r="H276" s="0" t="n">
        <v>170</v>
      </c>
      <c r="I276" s="0" t="n">
        <v>151</v>
      </c>
      <c r="J276" s="0" t="n">
        <v>248</v>
      </c>
      <c r="K276" s="0" t="n">
        <v>88</v>
      </c>
      <c r="L276" s="0" t="n">
        <v>274</v>
      </c>
      <c r="M276" s="0" t="n">
        <v>0</v>
      </c>
      <c r="N276" s="0" t="n">
        <v>11</v>
      </c>
      <c r="O276" s="0" t="n">
        <v>105</v>
      </c>
      <c r="P276" s="0" t="n">
        <v>32</v>
      </c>
      <c r="Q276" s="114" t="n">
        <v>66</v>
      </c>
      <c r="R276" s="114" t="n">
        <v>160</v>
      </c>
      <c r="S276" s="114" t="n">
        <v>1.1</v>
      </c>
      <c r="T276" s="114" t="n">
        <v>1.4</v>
      </c>
      <c r="U276" s="114" t="n">
        <v>0.6</v>
      </c>
      <c r="V276" s="114" t="n">
        <v>0</v>
      </c>
      <c r="W276" s="0" t="s">
        <v>1431</v>
      </c>
      <c r="X276" s="0" t="s">
        <v>1431</v>
      </c>
      <c r="Y276" s="0" t="s">
        <v>1431</v>
      </c>
      <c r="Z276" s="0" t="s">
        <v>1431</v>
      </c>
      <c r="AA276" s="0" t="s">
        <v>1432</v>
      </c>
      <c r="AB276" s="0" t="s">
        <v>1433</v>
      </c>
      <c r="AC276" s="0" t="s">
        <v>58</v>
      </c>
      <c r="AD276" s="0" t="s">
        <v>58</v>
      </c>
      <c r="AE276" s="0" t="s">
        <v>1434</v>
      </c>
      <c r="AF276" s="0" t="s">
        <v>58</v>
      </c>
      <c r="AG276" s="0" t="s">
        <v>58</v>
      </c>
      <c r="AH276" s="0" t="s">
        <v>58</v>
      </c>
    </row>
    <row r="277" customFormat="false" ht="14.4" hidden="false" customHeight="false" outlineLevel="0" collapsed="false">
      <c r="A277" s="0" t="n">
        <v>36</v>
      </c>
      <c r="B277" s="0" t="s">
        <v>1435</v>
      </c>
      <c r="C277" s="0" t="s">
        <v>437</v>
      </c>
      <c r="D277" s="0" t="s">
        <v>430</v>
      </c>
      <c r="E277" s="0" t="s">
        <v>1123</v>
      </c>
      <c r="F277" s="0" t="n">
        <v>3755</v>
      </c>
      <c r="G277" s="0" t="s">
        <v>138</v>
      </c>
      <c r="H277" s="0" t="n">
        <v>190</v>
      </c>
      <c r="I277" s="0" t="n">
        <v>137</v>
      </c>
      <c r="J277" s="0" t="n">
        <v>168</v>
      </c>
      <c r="K277" s="0" t="n">
        <v>95</v>
      </c>
      <c r="L277" s="0" t="n">
        <v>449</v>
      </c>
      <c r="M277" s="0" t="n">
        <v>0</v>
      </c>
      <c r="N277" s="0" t="n">
        <v>11</v>
      </c>
      <c r="O277" s="0" t="n">
        <v>201</v>
      </c>
      <c r="P277" s="0" t="n">
        <v>32</v>
      </c>
      <c r="Q277" s="114" t="n">
        <v>85</v>
      </c>
      <c r="R277" s="114" t="n">
        <v>168</v>
      </c>
      <c r="S277" s="114" t="n">
        <v>1.05</v>
      </c>
      <c r="T277" s="114" t="n">
        <v>1.35</v>
      </c>
      <c r="U277" s="114" t="n">
        <v>1.7</v>
      </c>
      <c r="V277" s="114" t="n">
        <v>0</v>
      </c>
      <c r="W277" s="0" t="s">
        <v>1144</v>
      </c>
      <c r="X277" s="114" t="s">
        <v>58</v>
      </c>
      <c r="Y277" s="114" t="s">
        <v>58</v>
      </c>
      <c r="Z277" s="114" t="s">
        <v>58</v>
      </c>
      <c r="AA277" s="0" t="s">
        <v>1436</v>
      </c>
      <c r="AB277" s="0" t="s">
        <v>1437</v>
      </c>
      <c r="AC277" s="0" t="s">
        <v>58</v>
      </c>
      <c r="AD277" s="0" t="s">
        <v>58</v>
      </c>
      <c r="AE277" s="0" t="s">
        <v>464</v>
      </c>
      <c r="AF277" s="0" t="s">
        <v>58</v>
      </c>
      <c r="AG277" s="0" t="s">
        <v>58</v>
      </c>
      <c r="AH277" s="0" t="s">
        <v>58</v>
      </c>
    </row>
    <row r="278" customFormat="false" ht="14.4" hidden="false" customHeight="false" outlineLevel="0" collapsed="false">
      <c r="A278" s="0" t="n">
        <v>3036</v>
      </c>
      <c r="B278" s="0" t="s">
        <v>392</v>
      </c>
      <c r="C278" s="0" t="s">
        <v>437</v>
      </c>
      <c r="D278" s="0" t="s">
        <v>1438</v>
      </c>
      <c r="E278" s="0" t="s">
        <v>1123</v>
      </c>
      <c r="F278" s="0" t="n">
        <v>3995</v>
      </c>
      <c r="G278" s="0" t="s">
        <v>138</v>
      </c>
      <c r="H278" s="0" t="n">
        <v>210</v>
      </c>
      <c r="I278" s="0" t="n">
        <v>182</v>
      </c>
      <c r="J278" s="0" t="n">
        <v>168</v>
      </c>
      <c r="K278" s="0" t="n">
        <v>95</v>
      </c>
      <c r="L278" s="0" t="n">
        <v>559</v>
      </c>
      <c r="M278" s="0" t="n">
        <v>0</v>
      </c>
      <c r="N278" s="0" t="n">
        <v>11</v>
      </c>
      <c r="O278" s="0" t="n">
        <v>201</v>
      </c>
      <c r="P278" s="0" t="n">
        <v>32</v>
      </c>
      <c r="Q278" s="114" t="n">
        <v>85</v>
      </c>
      <c r="R278" s="114" t="n">
        <v>168</v>
      </c>
      <c r="S278" s="114" t="n">
        <v>1.15</v>
      </c>
      <c r="T278" s="114" t="n">
        <v>1.35</v>
      </c>
      <c r="U278" s="114" t="n">
        <v>1.85</v>
      </c>
      <c r="V278" s="114" t="n">
        <v>0</v>
      </c>
      <c r="W278" s="0" t="s">
        <v>1439</v>
      </c>
      <c r="X278" s="0" t="s">
        <v>1440</v>
      </c>
      <c r="Y278" s="114" t="s">
        <v>58</v>
      </c>
      <c r="Z278" s="114" t="s">
        <v>58</v>
      </c>
      <c r="AA278" s="0" t="s">
        <v>1436</v>
      </c>
      <c r="AB278" s="0" t="s">
        <v>1441</v>
      </c>
      <c r="AC278" s="0" t="s">
        <v>1442</v>
      </c>
      <c r="AD278" s="0" t="s">
        <v>58</v>
      </c>
      <c r="AE278" s="0" t="s">
        <v>1440</v>
      </c>
      <c r="AF278" s="0" t="s">
        <v>464</v>
      </c>
      <c r="AG278" s="0" t="s">
        <v>58</v>
      </c>
      <c r="AH278" s="0" t="s">
        <v>58</v>
      </c>
    </row>
    <row r="279" customFormat="false" ht="15" hidden="false" customHeight="true" outlineLevel="0" collapsed="false">
      <c r="A279" s="0" t="n">
        <v>404</v>
      </c>
      <c r="B279" s="0" t="s">
        <v>1443</v>
      </c>
      <c r="C279" s="0" t="s">
        <v>437</v>
      </c>
      <c r="D279" s="0" t="s">
        <v>472</v>
      </c>
      <c r="E279" s="0" t="s">
        <v>1123</v>
      </c>
      <c r="F279" s="0" t="n">
        <v>3517</v>
      </c>
      <c r="G279" s="0" t="s">
        <v>138</v>
      </c>
      <c r="H279" s="0" t="n">
        <v>179</v>
      </c>
      <c r="I279" s="0" t="n">
        <v>129</v>
      </c>
      <c r="J279" s="0" t="n">
        <v>157</v>
      </c>
      <c r="K279" s="0" t="n">
        <v>95</v>
      </c>
      <c r="L279" s="0" t="n">
        <v>429</v>
      </c>
      <c r="M279" s="0" t="n">
        <v>0</v>
      </c>
      <c r="N279" s="0" t="n">
        <v>8</v>
      </c>
      <c r="O279" s="0" t="n">
        <v>186</v>
      </c>
      <c r="P279" s="0" t="n">
        <v>32</v>
      </c>
      <c r="Q279" s="0" t="n">
        <v>77</v>
      </c>
      <c r="R279" s="0" t="n">
        <v>168</v>
      </c>
      <c r="S279" s="114" t="n">
        <v>1.05</v>
      </c>
      <c r="T279" s="114" t="n">
        <v>1.35</v>
      </c>
      <c r="U279" s="114" t="n">
        <v>1.6</v>
      </c>
      <c r="V279" s="114" t="n">
        <v>0</v>
      </c>
      <c r="W279" s="114" t="s">
        <v>1144</v>
      </c>
      <c r="X279" s="114" t="s">
        <v>58</v>
      </c>
      <c r="Y279" s="114" t="s">
        <v>58</v>
      </c>
      <c r="Z279" s="114" t="s">
        <v>58</v>
      </c>
      <c r="AA279" s="0" t="s">
        <v>1444</v>
      </c>
      <c r="AB279" s="0" t="s">
        <v>1445</v>
      </c>
      <c r="AC279" s="0" t="s">
        <v>58</v>
      </c>
      <c r="AD279" s="0" t="s">
        <v>58</v>
      </c>
      <c r="AE279" s="0" t="s">
        <v>464</v>
      </c>
      <c r="AF279" s="0" t="s">
        <v>58</v>
      </c>
      <c r="AG279" s="0" t="s">
        <v>58</v>
      </c>
      <c r="AH279" s="0" t="s">
        <v>58</v>
      </c>
    </row>
    <row r="280" customFormat="false" ht="14.4" hidden="false" customHeight="false" outlineLevel="0" collapsed="false">
      <c r="A280" s="0" t="n">
        <v>392</v>
      </c>
      <c r="B280" s="0" t="s">
        <v>1446</v>
      </c>
      <c r="C280" s="0" t="s">
        <v>437</v>
      </c>
      <c r="D280" s="0" t="s">
        <v>438</v>
      </c>
      <c r="E280" s="0" t="s">
        <v>1123</v>
      </c>
      <c r="F280" s="0" t="n">
        <v>3226</v>
      </c>
      <c r="G280" s="0" t="s">
        <v>138</v>
      </c>
      <c r="H280" s="0" t="n">
        <v>182</v>
      </c>
      <c r="I280" s="0" t="n">
        <v>131</v>
      </c>
      <c r="J280" s="0" t="n">
        <v>161</v>
      </c>
      <c r="K280" s="0" t="n">
        <v>95</v>
      </c>
      <c r="L280" s="0" t="n">
        <v>434</v>
      </c>
      <c r="M280" s="0" t="n">
        <v>0</v>
      </c>
      <c r="N280" s="0" t="n">
        <v>10</v>
      </c>
      <c r="O280" s="0" t="n">
        <v>192</v>
      </c>
      <c r="P280" s="0" t="n">
        <v>32</v>
      </c>
      <c r="Q280" s="0" t="n">
        <v>85</v>
      </c>
      <c r="R280" s="0" t="n">
        <v>168</v>
      </c>
      <c r="S280" s="114" t="n">
        <v>1</v>
      </c>
      <c r="T280" s="114" t="n">
        <v>1.15</v>
      </c>
      <c r="U280" s="114" t="n">
        <v>1.65</v>
      </c>
      <c r="V280" s="114" t="n">
        <v>0</v>
      </c>
      <c r="W280" s="0" t="s">
        <v>1144</v>
      </c>
      <c r="X280" s="114" t="s">
        <v>58</v>
      </c>
      <c r="Y280" s="114" t="s">
        <v>58</v>
      </c>
      <c r="Z280" s="114" t="s">
        <v>58</v>
      </c>
      <c r="AA280" s="0" t="s">
        <v>1447</v>
      </c>
      <c r="AB280" s="0" t="s">
        <v>1448</v>
      </c>
      <c r="AC280" s="0" t="s">
        <v>1449</v>
      </c>
      <c r="AD280" s="0" t="s">
        <v>58</v>
      </c>
      <c r="AE280" s="0" t="s">
        <v>1450</v>
      </c>
      <c r="AF280" s="0" t="s">
        <v>464</v>
      </c>
      <c r="AG280" s="0" t="s">
        <v>58</v>
      </c>
      <c r="AH280" s="0" t="s">
        <v>58</v>
      </c>
    </row>
    <row r="281" customFormat="false" ht="14.4" hidden="false" customHeight="false" outlineLevel="0" collapsed="false">
      <c r="A281" s="0" t="s">
        <v>1451</v>
      </c>
      <c r="B281" s="0" t="s">
        <v>1452</v>
      </c>
      <c r="C281" s="0" t="s">
        <v>437</v>
      </c>
      <c r="D281" s="0" t="s">
        <v>1344</v>
      </c>
      <c r="E281" s="0" t="s">
        <v>1123</v>
      </c>
      <c r="F281" s="0" t="n">
        <v>5257</v>
      </c>
      <c r="G281" s="0" t="s">
        <v>138</v>
      </c>
      <c r="H281" s="0" t="n">
        <v>156</v>
      </c>
      <c r="I281" s="0" t="n">
        <v>178</v>
      </c>
      <c r="J281" s="0" t="n">
        <v>0</v>
      </c>
      <c r="K281" s="0" t="n">
        <v>97</v>
      </c>
      <c r="L281" s="0" t="n">
        <v>365</v>
      </c>
      <c r="M281" s="0" t="n">
        <v>0</v>
      </c>
      <c r="N281" s="0" t="n">
        <v>12</v>
      </c>
      <c r="O281" s="0" t="n">
        <v>154</v>
      </c>
      <c r="P281" s="0" t="n">
        <v>33</v>
      </c>
      <c r="Q281" s="0" t="n">
        <v>0</v>
      </c>
      <c r="R281" s="0" t="n">
        <v>157</v>
      </c>
      <c r="S281" s="114" t="n">
        <v>1.45</v>
      </c>
      <c r="T281" s="114" t="n">
        <v>0.65</v>
      </c>
      <c r="U281" s="114" t="n">
        <v>1.3</v>
      </c>
      <c r="V281" s="114" t="n">
        <v>0.65</v>
      </c>
      <c r="W281" s="0" t="s">
        <v>1453</v>
      </c>
      <c r="X281" s="114" t="s">
        <v>58</v>
      </c>
      <c r="Y281" s="114" t="s">
        <v>58</v>
      </c>
      <c r="Z281" s="114" t="s">
        <v>58</v>
      </c>
      <c r="AA281" s="0" t="s">
        <v>1454</v>
      </c>
      <c r="AB281" s="0" t="s">
        <v>1455</v>
      </c>
      <c r="AC281" s="0" t="s">
        <v>818</v>
      </c>
      <c r="AD281" s="0" t="s">
        <v>1456</v>
      </c>
      <c r="AE281" s="0" t="s">
        <v>1457</v>
      </c>
      <c r="AF281" s="0" t="s">
        <v>822</v>
      </c>
      <c r="AG281" s="0" t="s">
        <v>464</v>
      </c>
      <c r="AH281" s="0" t="s">
        <v>58</v>
      </c>
    </row>
    <row r="282" customFormat="false" ht="14.4" hidden="false" customHeight="false" outlineLevel="0" collapsed="false">
      <c r="A282" s="0" t="n">
        <v>308</v>
      </c>
      <c r="B282" s="0" t="s">
        <v>1458</v>
      </c>
      <c r="C282" s="0" t="s">
        <v>429</v>
      </c>
      <c r="D282" s="0" t="s">
        <v>472</v>
      </c>
      <c r="E282" s="0" t="s">
        <v>1123</v>
      </c>
      <c r="F282" s="0" t="n">
        <v>2540</v>
      </c>
      <c r="G282" s="0" t="s">
        <v>138</v>
      </c>
      <c r="H282" s="0" t="n">
        <v>185</v>
      </c>
      <c r="I282" s="0" t="n">
        <v>150</v>
      </c>
      <c r="J282" s="0" t="n">
        <v>326</v>
      </c>
      <c r="K282" s="0" t="n">
        <v>108</v>
      </c>
      <c r="L282" s="0" t="n">
        <v>276</v>
      </c>
      <c r="M282" s="0" t="n">
        <v>0</v>
      </c>
      <c r="N282" s="0" t="n">
        <v>8</v>
      </c>
      <c r="O282" s="0" t="n">
        <v>107</v>
      </c>
      <c r="P282" s="0" t="n">
        <v>35</v>
      </c>
      <c r="Q282" s="114" t="n">
        <v>42</v>
      </c>
      <c r="R282" s="114" t="n">
        <v>151</v>
      </c>
      <c r="S282" s="114" t="n">
        <v>1.2</v>
      </c>
      <c r="T282" s="114" t="n">
        <v>1.65</v>
      </c>
      <c r="U282" s="114" t="n">
        <v>1.15</v>
      </c>
      <c r="V282" s="114" t="n">
        <v>0</v>
      </c>
      <c r="W282" s="0" t="s">
        <v>1293</v>
      </c>
      <c r="X282" s="114" t="s">
        <v>58</v>
      </c>
      <c r="Y282" s="114" t="s">
        <v>58</v>
      </c>
      <c r="Z282" s="114" t="s">
        <v>58</v>
      </c>
      <c r="AA282" s="0" t="s">
        <v>1459</v>
      </c>
      <c r="AB282" s="0" t="s">
        <v>1295</v>
      </c>
      <c r="AC282" s="0" t="s">
        <v>58</v>
      </c>
      <c r="AD282" s="0" t="s">
        <v>58</v>
      </c>
      <c r="AE282" s="0" t="s">
        <v>464</v>
      </c>
      <c r="AF282" s="0" t="s">
        <v>58</v>
      </c>
      <c r="AG282" s="0" t="s">
        <v>58</v>
      </c>
      <c r="AH282" s="0" t="s">
        <v>58</v>
      </c>
    </row>
    <row r="283" customFormat="false" ht="15" hidden="false" customHeight="true" outlineLevel="0" collapsed="false">
      <c r="A283" s="0" t="n">
        <v>3308</v>
      </c>
      <c r="B283" s="0" t="s">
        <v>1460</v>
      </c>
      <c r="C283" s="0" t="s">
        <v>429</v>
      </c>
      <c r="D283" s="0" t="s">
        <v>438</v>
      </c>
      <c r="E283" s="0" t="s">
        <v>1123</v>
      </c>
      <c r="F283" s="0" t="n">
        <v>2780</v>
      </c>
      <c r="G283" s="0" t="s">
        <v>138</v>
      </c>
      <c r="H283" s="0" t="n">
        <v>190</v>
      </c>
      <c r="I283" s="0" t="n">
        <v>170</v>
      </c>
      <c r="J283" s="0" t="n">
        <v>391</v>
      </c>
      <c r="K283" s="0" t="n">
        <v>108</v>
      </c>
      <c r="L283" s="0" t="n">
        <v>276</v>
      </c>
      <c r="M283" s="0" t="n">
        <v>0</v>
      </c>
      <c r="N283" s="0" t="n">
        <v>9</v>
      </c>
      <c r="O283" s="0" t="n">
        <v>107</v>
      </c>
      <c r="P283" s="0" t="n">
        <v>35</v>
      </c>
      <c r="Q283" s="114" t="n">
        <v>42</v>
      </c>
      <c r="R283" s="114" t="n">
        <v>151</v>
      </c>
      <c r="S283" s="114" t="n">
        <v>1.25</v>
      </c>
      <c r="T283" s="114" t="n">
        <v>1.8</v>
      </c>
      <c r="U283" s="114" t="n">
        <v>1.15</v>
      </c>
      <c r="V283" s="114" t="n">
        <v>0</v>
      </c>
      <c r="W283" s="0" t="s">
        <v>1293</v>
      </c>
      <c r="X283" s="114" t="s">
        <v>58</v>
      </c>
      <c r="Y283" s="114" t="s">
        <v>58</v>
      </c>
      <c r="Z283" s="114" t="s">
        <v>58</v>
      </c>
      <c r="AA283" s="0" t="s">
        <v>1459</v>
      </c>
      <c r="AB283" s="0" t="s">
        <v>1461</v>
      </c>
      <c r="AC283" s="0" t="s">
        <v>1295</v>
      </c>
      <c r="AD283" s="0" t="s">
        <v>58</v>
      </c>
      <c r="AE283" s="0" t="s">
        <v>1462</v>
      </c>
      <c r="AF283" s="0" t="s">
        <v>464</v>
      </c>
      <c r="AG283" s="0" t="s">
        <v>58</v>
      </c>
      <c r="AH283" s="0" t="s">
        <v>58</v>
      </c>
    </row>
    <row r="284" customFormat="false" ht="14.4" hidden="false" customHeight="false" outlineLevel="0" collapsed="false">
      <c r="A284" s="0" t="n">
        <v>111</v>
      </c>
      <c r="B284" s="0" t="s">
        <v>1463</v>
      </c>
      <c r="C284" s="0" t="s">
        <v>471</v>
      </c>
      <c r="D284" s="0" t="s">
        <v>438</v>
      </c>
      <c r="E284" s="0" t="s">
        <v>1123</v>
      </c>
      <c r="F284" s="0" t="n">
        <v>3796</v>
      </c>
      <c r="G284" s="0" t="s">
        <v>138</v>
      </c>
      <c r="H284" s="0" t="n">
        <v>182</v>
      </c>
      <c r="I284" s="0" t="n">
        <v>156</v>
      </c>
      <c r="J284" s="0" t="n">
        <v>295</v>
      </c>
      <c r="K284" s="0" t="n">
        <v>100</v>
      </c>
      <c r="L284" s="0" t="n">
        <v>351</v>
      </c>
      <c r="M284" s="0" t="n">
        <v>0</v>
      </c>
      <c r="N284" s="0" t="n">
        <v>10</v>
      </c>
      <c r="O284" s="0" t="n">
        <v>87</v>
      </c>
      <c r="P284" s="0" t="n">
        <v>32</v>
      </c>
      <c r="Q284" s="114" t="n">
        <v>78</v>
      </c>
      <c r="R284" s="114" t="n">
        <v>160</v>
      </c>
      <c r="S284" s="114" t="n">
        <v>1.5</v>
      </c>
      <c r="T284" s="114" t="n">
        <v>1.5</v>
      </c>
      <c r="U284" s="114" t="n">
        <v>1.1</v>
      </c>
      <c r="V284" s="114" t="n">
        <v>0</v>
      </c>
      <c r="W284" s="114" t="s">
        <v>1258</v>
      </c>
      <c r="X284" s="114" t="s">
        <v>58</v>
      </c>
      <c r="Y284" s="114" t="s">
        <v>58</v>
      </c>
      <c r="Z284" s="114" t="s">
        <v>58</v>
      </c>
      <c r="AA284" s="0" t="s">
        <v>1464</v>
      </c>
      <c r="AB284" s="0" t="s">
        <v>1465</v>
      </c>
      <c r="AC284" s="0" t="s">
        <v>1466</v>
      </c>
      <c r="AD284" s="0" t="s">
        <v>58</v>
      </c>
      <c r="AE284" s="0" t="s">
        <v>1467</v>
      </c>
      <c r="AF284" s="0" t="s">
        <v>464</v>
      </c>
      <c r="AG284" s="0" t="s">
        <v>58</v>
      </c>
      <c r="AH284" s="0" t="s">
        <v>58</v>
      </c>
    </row>
    <row r="285" customFormat="false" ht="14.4" hidden="false" customHeight="false" outlineLevel="0" collapsed="false">
      <c r="A285" s="0" t="n">
        <v>421</v>
      </c>
      <c r="B285" s="0" t="s">
        <v>1468</v>
      </c>
      <c r="C285" s="0" t="s">
        <v>471</v>
      </c>
      <c r="D285" s="0" t="s">
        <v>443</v>
      </c>
      <c r="E285" s="0" t="s">
        <v>1123</v>
      </c>
      <c r="F285" s="0" t="n">
        <v>3559</v>
      </c>
      <c r="G285" s="0" t="s">
        <v>138</v>
      </c>
      <c r="H285" s="0" t="n">
        <v>182</v>
      </c>
      <c r="I285" s="0" t="n">
        <v>153</v>
      </c>
      <c r="J285" s="0" t="n">
        <v>295</v>
      </c>
      <c r="K285" s="0" t="n">
        <v>100</v>
      </c>
      <c r="L285" s="0" t="n">
        <v>351</v>
      </c>
      <c r="M285" s="0" t="n">
        <v>0</v>
      </c>
      <c r="N285" s="0" t="n">
        <v>10</v>
      </c>
      <c r="O285" s="0" t="n">
        <v>87</v>
      </c>
      <c r="P285" s="0" t="n">
        <v>32</v>
      </c>
      <c r="Q285" s="0" t="n">
        <v>78</v>
      </c>
      <c r="R285" s="0" t="n">
        <v>160</v>
      </c>
      <c r="S285" s="114" t="n">
        <v>1.5</v>
      </c>
      <c r="T285" s="114" t="n">
        <v>1.5</v>
      </c>
      <c r="U285" s="114" t="n">
        <v>1.1</v>
      </c>
      <c r="V285" s="114" t="n">
        <v>0</v>
      </c>
      <c r="W285" s="114" t="s">
        <v>1469</v>
      </c>
      <c r="X285" s="114" t="s">
        <v>1470</v>
      </c>
      <c r="Y285" s="114" t="s">
        <v>1471</v>
      </c>
      <c r="Z285" s="114" t="s">
        <v>58</v>
      </c>
      <c r="AA285" s="114" t="s">
        <v>1472</v>
      </c>
      <c r="AB285" s="114" t="s">
        <v>1473</v>
      </c>
      <c r="AC285" s="114" t="s">
        <v>1474</v>
      </c>
      <c r="AD285" s="114" t="s">
        <v>58</v>
      </c>
      <c r="AE285" s="114" t="s">
        <v>1475</v>
      </c>
      <c r="AF285" s="114" t="s">
        <v>1476</v>
      </c>
      <c r="AG285" s="114" t="s">
        <v>464</v>
      </c>
      <c r="AH285" s="114" t="s">
        <v>58</v>
      </c>
    </row>
    <row r="286" customFormat="false" ht="14.4" hidden="false" customHeight="false" outlineLevel="0" collapsed="false">
      <c r="A286" s="0" t="n">
        <v>371</v>
      </c>
      <c r="B286" s="0" t="s">
        <v>1477</v>
      </c>
      <c r="C286" s="0" t="s">
        <v>471</v>
      </c>
      <c r="D286" s="0" t="s">
        <v>430</v>
      </c>
      <c r="E286" s="0" t="s">
        <v>1123</v>
      </c>
      <c r="F286" s="0" t="n">
        <v>3744</v>
      </c>
      <c r="G286" s="0" t="s">
        <v>138</v>
      </c>
      <c r="H286" s="0" t="n">
        <v>182</v>
      </c>
      <c r="I286" s="0" t="n">
        <v>151</v>
      </c>
      <c r="J286" s="0" t="n">
        <v>161</v>
      </c>
      <c r="K286" s="0" t="n">
        <v>97</v>
      </c>
      <c r="L286" s="0" t="n">
        <v>385</v>
      </c>
      <c r="M286" s="0" t="n">
        <v>0</v>
      </c>
      <c r="N286" s="0" t="n">
        <v>11</v>
      </c>
      <c r="O286" s="0" t="n">
        <v>164</v>
      </c>
      <c r="P286" s="0" t="n">
        <v>32</v>
      </c>
      <c r="Q286" s="114" t="n">
        <v>70</v>
      </c>
      <c r="R286" s="114" t="n">
        <v>169</v>
      </c>
      <c r="S286" s="114" t="n">
        <v>1.3</v>
      </c>
      <c r="T286" s="114" t="n">
        <v>1.3</v>
      </c>
      <c r="U286" s="114" t="n">
        <v>1.3</v>
      </c>
      <c r="V286" s="114" t="n">
        <v>0</v>
      </c>
      <c r="W286" s="0" t="s">
        <v>1478</v>
      </c>
      <c r="X286" s="114" t="s">
        <v>58</v>
      </c>
      <c r="Y286" s="114" t="s">
        <v>58</v>
      </c>
      <c r="Z286" s="114" t="s">
        <v>58</v>
      </c>
      <c r="AA286" s="0" t="s">
        <v>1479</v>
      </c>
      <c r="AB286" s="0" t="s">
        <v>1480</v>
      </c>
      <c r="AC286" s="0" t="s">
        <v>1481</v>
      </c>
      <c r="AD286" s="0" t="s">
        <v>58</v>
      </c>
      <c r="AE286" s="0" t="s">
        <v>1482</v>
      </c>
      <c r="AF286" s="0" t="s">
        <v>464</v>
      </c>
      <c r="AG286" s="0" t="s">
        <v>58</v>
      </c>
      <c r="AH286" s="0" t="s">
        <v>58</v>
      </c>
    </row>
    <row r="287" customFormat="false" ht="14.4" hidden="false" customHeight="false" outlineLevel="0" collapsed="false">
      <c r="A287" s="0" t="n">
        <v>391</v>
      </c>
      <c r="B287" s="0" t="s">
        <v>1483</v>
      </c>
      <c r="C287" s="0" t="s">
        <v>437</v>
      </c>
      <c r="D287" s="0" t="s">
        <v>438</v>
      </c>
      <c r="E287" s="0" t="s">
        <v>1123</v>
      </c>
      <c r="F287" s="0" t="n">
        <v>3601</v>
      </c>
      <c r="G287" s="0" t="s">
        <v>138</v>
      </c>
      <c r="H287" s="0" t="n">
        <v>181</v>
      </c>
      <c r="I287" s="0" t="n">
        <v>162</v>
      </c>
      <c r="J287" s="0" t="n">
        <v>0</v>
      </c>
      <c r="K287" s="0" t="n">
        <v>94</v>
      </c>
      <c r="L287" s="0" t="n">
        <v>323</v>
      </c>
      <c r="M287" s="0" t="n">
        <v>0</v>
      </c>
      <c r="N287" s="0" t="n">
        <v>10</v>
      </c>
      <c r="O287" s="0" t="n">
        <v>100</v>
      </c>
      <c r="P287" s="0" t="n">
        <v>32</v>
      </c>
      <c r="Q287" s="0" t="n">
        <v>71</v>
      </c>
      <c r="R287" s="0" t="n">
        <v>158</v>
      </c>
      <c r="S287" s="114" t="n">
        <v>1.2</v>
      </c>
      <c r="T287" s="114" t="n">
        <v>0.65</v>
      </c>
      <c r="U287" s="114" t="n">
        <v>1.2</v>
      </c>
      <c r="V287" s="114" t="n">
        <v>0</v>
      </c>
      <c r="W287" s="114" t="s">
        <v>1175</v>
      </c>
      <c r="X287" s="114" t="s">
        <v>58</v>
      </c>
      <c r="Y287" s="114" t="s">
        <v>58</v>
      </c>
      <c r="Z287" s="114" t="s">
        <v>58</v>
      </c>
      <c r="AA287" s="0" t="s">
        <v>1484</v>
      </c>
      <c r="AB287" s="0" t="s">
        <v>1485</v>
      </c>
      <c r="AC287" s="0" t="s">
        <v>1202</v>
      </c>
      <c r="AD287" s="0" t="s">
        <v>58</v>
      </c>
      <c r="AE287" s="0" t="s">
        <v>1486</v>
      </c>
      <c r="AF287" s="0" t="s">
        <v>464</v>
      </c>
      <c r="AG287" s="0" t="s">
        <v>58</v>
      </c>
      <c r="AH287" s="0" t="s">
        <v>58</v>
      </c>
    </row>
    <row r="288" customFormat="false" ht="14.4" hidden="false" customHeight="false" outlineLevel="0" collapsed="false">
      <c r="A288" s="0" t="n">
        <v>110</v>
      </c>
      <c r="B288" s="0" t="s">
        <v>1487</v>
      </c>
      <c r="C288" s="0" t="s">
        <v>471</v>
      </c>
      <c r="D288" s="0" t="s">
        <v>472</v>
      </c>
      <c r="E288" s="0" t="s">
        <v>1123</v>
      </c>
      <c r="F288" s="0" t="n">
        <v>3688</v>
      </c>
      <c r="G288" s="0" t="s">
        <v>138</v>
      </c>
      <c r="H288" s="0" t="n">
        <v>171</v>
      </c>
      <c r="I288" s="0" t="n">
        <v>151</v>
      </c>
      <c r="J288" s="0" t="n">
        <v>273</v>
      </c>
      <c r="K288" s="0" t="n">
        <v>100</v>
      </c>
      <c r="L288" s="0" t="n">
        <v>307</v>
      </c>
      <c r="M288" s="0" t="n">
        <v>0</v>
      </c>
      <c r="N288" s="0" t="n">
        <v>9</v>
      </c>
      <c r="O288" s="0" t="n">
        <v>103</v>
      </c>
      <c r="P288" s="0" t="n">
        <v>32</v>
      </c>
      <c r="Q288" s="0" t="n">
        <v>32</v>
      </c>
      <c r="R288" s="0" t="n">
        <v>157</v>
      </c>
      <c r="S288" s="114" t="n">
        <v>1.35</v>
      </c>
      <c r="T288" s="114" t="n">
        <v>1.3</v>
      </c>
      <c r="U288" s="114" t="n">
        <v>1.1</v>
      </c>
      <c r="V288" s="114" t="n">
        <v>0</v>
      </c>
      <c r="W288" s="0" t="s">
        <v>1258</v>
      </c>
      <c r="X288" s="114" t="s">
        <v>58</v>
      </c>
      <c r="Y288" s="114" t="s">
        <v>58</v>
      </c>
      <c r="Z288" s="114" t="s">
        <v>58</v>
      </c>
      <c r="AA288" s="0" t="s">
        <v>773</v>
      </c>
      <c r="AB288" s="0" t="s">
        <v>1141</v>
      </c>
      <c r="AC288" s="0" t="s">
        <v>1488</v>
      </c>
      <c r="AD288" s="0" t="s">
        <v>58</v>
      </c>
      <c r="AE288" s="0" t="s">
        <v>949</v>
      </c>
      <c r="AF288" s="0" t="s">
        <v>464</v>
      </c>
      <c r="AG288" s="0" t="s">
        <v>58</v>
      </c>
      <c r="AH288" s="0" t="s">
        <v>58</v>
      </c>
    </row>
    <row r="289" customFormat="false" ht="14.4" hidden="false" customHeight="false" outlineLevel="0" collapsed="false">
      <c r="A289" s="0" t="n">
        <v>305</v>
      </c>
      <c r="B289" s="0" t="s">
        <v>1489</v>
      </c>
      <c r="C289" s="0" t="s">
        <v>437</v>
      </c>
      <c r="D289" s="0" t="s">
        <v>438</v>
      </c>
      <c r="E289" s="0" t="s">
        <v>1123</v>
      </c>
      <c r="F289" s="0" t="n">
        <v>3604</v>
      </c>
      <c r="G289" s="0" t="s">
        <v>138</v>
      </c>
      <c r="H289" s="0" t="n">
        <v>185</v>
      </c>
      <c r="I289" s="0" t="n">
        <v>171</v>
      </c>
      <c r="J289" s="0" t="n">
        <v>0</v>
      </c>
      <c r="K289" s="0" t="n">
        <v>90</v>
      </c>
      <c r="L289" s="0" t="n">
        <v>316</v>
      </c>
      <c r="M289" s="0" t="n">
        <v>0</v>
      </c>
      <c r="N289" s="0" t="n">
        <v>10</v>
      </c>
      <c r="O289" s="0" t="n">
        <v>101</v>
      </c>
      <c r="P289" s="0" t="n">
        <v>32</v>
      </c>
      <c r="Q289" s="114" t="n">
        <v>65</v>
      </c>
      <c r="R289" s="114" t="n">
        <v>166</v>
      </c>
      <c r="S289" s="114" t="n">
        <v>1.35</v>
      </c>
      <c r="T289" s="114" t="n">
        <v>0.65</v>
      </c>
      <c r="U289" s="114" t="n">
        <v>1</v>
      </c>
      <c r="V289" s="114" t="n">
        <v>0</v>
      </c>
      <c r="W289" s="114" t="s">
        <v>1193</v>
      </c>
      <c r="X289" s="114" t="s">
        <v>58</v>
      </c>
      <c r="Y289" s="114" t="s">
        <v>58</v>
      </c>
      <c r="Z289" s="114" t="s">
        <v>58</v>
      </c>
      <c r="AA289" s="0" t="s">
        <v>1490</v>
      </c>
      <c r="AB289" s="0" t="s">
        <v>987</v>
      </c>
      <c r="AC289" s="0" t="s">
        <v>1491</v>
      </c>
      <c r="AD289" s="0" t="s">
        <v>58</v>
      </c>
      <c r="AE289" s="0" t="s">
        <v>1492</v>
      </c>
      <c r="AF289" s="0" t="s">
        <v>464</v>
      </c>
      <c r="AG289" s="0" t="s">
        <v>58</v>
      </c>
      <c r="AH289" s="0" t="s">
        <v>58</v>
      </c>
    </row>
    <row r="290" customFormat="false" ht="14.4" hidden="false" customHeight="false" outlineLevel="0" collapsed="false">
      <c r="A290" s="0" t="n">
        <v>393</v>
      </c>
      <c r="B290" s="0" t="s">
        <v>1493</v>
      </c>
      <c r="C290" s="0" t="s">
        <v>471</v>
      </c>
      <c r="D290" s="0" t="s">
        <v>430</v>
      </c>
      <c r="E290" s="0" t="s">
        <v>1123</v>
      </c>
      <c r="F290" s="0" t="n">
        <v>3796</v>
      </c>
      <c r="G290" s="0" t="s">
        <v>138</v>
      </c>
      <c r="H290" s="0" t="n">
        <v>190</v>
      </c>
      <c r="I290" s="0" t="n">
        <v>163</v>
      </c>
      <c r="J290" s="0" t="n">
        <v>364</v>
      </c>
      <c r="K290" s="0" t="n">
        <v>96</v>
      </c>
      <c r="L290" s="0" t="n">
        <v>304</v>
      </c>
      <c r="M290" s="0" t="n">
        <v>0</v>
      </c>
      <c r="N290" s="0" t="n">
        <v>11</v>
      </c>
      <c r="O290" s="0" t="n">
        <v>148</v>
      </c>
      <c r="P290" s="0" t="n">
        <v>32</v>
      </c>
      <c r="Q290" s="0" t="n">
        <v>44</v>
      </c>
      <c r="R290" s="0" t="n">
        <v>163</v>
      </c>
      <c r="S290" s="114" t="n">
        <v>1.55</v>
      </c>
      <c r="T290" s="114" t="n">
        <v>1.55</v>
      </c>
      <c r="U290" s="114" t="n">
        <v>1.1</v>
      </c>
      <c r="V290" s="114" t="n">
        <v>0</v>
      </c>
      <c r="W290" s="114" t="s">
        <v>1494</v>
      </c>
      <c r="X290" s="114" t="s">
        <v>58</v>
      </c>
      <c r="Y290" s="114" t="s">
        <v>58</v>
      </c>
      <c r="Z290" s="114" t="s">
        <v>58</v>
      </c>
      <c r="AA290" s="0" t="s">
        <v>1495</v>
      </c>
      <c r="AB290" s="0" t="s">
        <v>1496</v>
      </c>
      <c r="AC290" s="0" t="s">
        <v>1497</v>
      </c>
      <c r="AD290" s="0" t="s">
        <v>58</v>
      </c>
      <c r="AE290" s="0" t="s">
        <v>1498</v>
      </c>
      <c r="AF290" s="0" t="s">
        <v>464</v>
      </c>
      <c r="AG290" s="0" t="s">
        <v>58</v>
      </c>
      <c r="AH290" s="0" t="s">
        <v>58</v>
      </c>
    </row>
    <row r="291" customFormat="false" ht="14.4" hidden="false" customHeight="false" outlineLevel="0" collapsed="false">
      <c r="A291" s="0" t="n">
        <v>257</v>
      </c>
      <c r="B291" s="0" t="s">
        <v>1499</v>
      </c>
      <c r="C291" s="0" t="s">
        <v>497</v>
      </c>
      <c r="D291" s="0" t="s">
        <v>438</v>
      </c>
      <c r="E291" s="0" t="s">
        <v>1123</v>
      </c>
      <c r="F291" s="0" t="n">
        <v>1884</v>
      </c>
      <c r="G291" s="0" t="s">
        <v>138</v>
      </c>
      <c r="H291" s="0" t="n">
        <v>182</v>
      </c>
      <c r="I291" s="0" t="n">
        <v>120</v>
      </c>
      <c r="J291" s="0" t="n">
        <v>0</v>
      </c>
      <c r="K291" s="0" t="n">
        <v>79</v>
      </c>
      <c r="L291" s="0" t="n">
        <v>347</v>
      </c>
      <c r="M291" s="0" t="n">
        <v>0</v>
      </c>
      <c r="N291" s="0" t="n">
        <v>10</v>
      </c>
      <c r="O291" s="0" t="n">
        <v>55</v>
      </c>
      <c r="P291" s="0" t="n">
        <v>19</v>
      </c>
      <c r="Q291" s="114" t="n">
        <v>64</v>
      </c>
      <c r="R291" s="114" t="n">
        <v>146</v>
      </c>
      <c r="S291" s="114" t="n">
        <v>1.3</v>
      </c>
      <c r="T291" s="114" t="n">
        <v>1.2</v>
      </c>
      <c r="U291" s="114" t="n">
        <v>0.8</v>
      </c>
      <c r="V291" s="114" t="n">
        <v>0</v>
      </c>
      <c r="W291" s="0" t="s">
        <v>1500</v>
      </c>
      <c r="X291" s="114" t="s">
        <v>58</v>
      </c>
      <c r="Y291" s="114" t="s">
        <v>58</v>
      </c>
      <c r="Z291" s="114" t="s">
        <v>58</v>
      </c>
      <c r="AA291" s="0" t="s">
        <v>1501</v>
      </c>
      <c r="AB291" s="0" t="s">
        <v>1502</v>
      </c>
      <c r="AC291" s="0" t="s">
        <v>1503</v>
      </c>
      <c r="AD291" s="0" t="s">
        <v>58</v>
      </c>
      <c r="AE291" s="0" t="s">
        <v>1390</v>
      </c>
      <c r="AF291" s="0" t="s">
        <v>464</v>
      </c>
      <c r="AG291" s="0" t="s">
        <v>58</v>
      </c>
      <c r="AH291" s="0" t="s">
        <v>58</v>
      </c>
    </row>
    <row r="292" customFormat="false" ht="14.4" hidden="false" customHeight="false" outlineLevel="0" collapsed="false">
      <c r="A292" s="0" t="n">
        <v>179</v>
      </c>
      <c r="B292" s="0" t="s">
        <v>1504</v>
      </c>
      <c r="C292" s="0" t="s">
        <v>429</v>
      </c>
      <c r="D292" s="0" t="s">
        <v>438</v>
      </c>
      <c r="E292" s="0" t="s">
        <v>1123</v>
      </c>
      <c r="F292" s="0" t="n">
        <v>2177</v>
      </c>
      <c r="G292" s="0" t="s">
        <v>138</v>
      </c>
      <c r="H292" s="0" t="n">
        <v>182</v>
      </c>
      <c r="I292" s="0" t="n">
        <v>131</v>
      </c>
      <c r="J292" s="0" t="n">
        <v>276</v>
      </c>
      <c r="K292" s="0" t="n">
        <v>105</v>
      </c>
      <c r="L292" s="0" t="n">
        <v>307</v>
      </c>
      <c r="M292" s="0" t="n">
        <v>0</v>
      </c>
      <c r="N292" s="0" t="n">
        <v>8</v>
      </c>
      <c r="O292" s="0" t="n">
        <v>84</v>
      </c>
      <c r="P292" s="0" t="n">
        <v>35</v>
      </c>
      <c r="Q292" s="114" t="n">
        <v>53</v>
      </c>
      <c r="R292" s="114" t="n">
        <v>140</v>
      </c>
      <c r="S292" s="114" t="n">
        <v>1.1</v>
      </c>
      <c r="T292" s="114" t="n">
        <v>1.6</v>
      </c>
      <c r="U292" s="114" t="n">
        <v>1.25</v>
      </c>
      <c r="V292" s="114" t="n">
        <v>0</v>
      </c>
      <c r="W292" s="0" t="s">
        <v>1505</v>
      </c>
      <c r="X292" s="114" t="s">
        <v>58</v>
      </c>
      <c r="Y292" s="114" t="s">
        <v>58</v>
      </c>
      <c r="Z292" s="114" t="s">
        <v>58</v>
      </c>
      <c r="AA292" s="0" t="s">
        <v>1506</v>
      </c>
      <c r="AB292" s="0" t="s">
        <v>590</v>
      </c>
      <c r="AC292" s="0" t="s">
        <v>1507</v>
      </c>
      <c r="AD292" s="0" t="s">
        <v>58</v>
      </c>
      <c r="AE292" s="0" t="s">
        <v>592</v>
      </c>
      <c r="AF292" s="0" t="s">
        <v>464</v>
      </c>
      <c r="AG292" s="0" t="s">
        <v>58</v>
      </c>
      <c r="AH292" s="0" t="s">
        <v>58</v>
      </c>
    </row>
    <row r="293" customFormat="false" ht="14.4" hidden="false" customHeight="false" outlineLevel="0" collapsed="false">
      <c r="A293" s="0" t="n">
        <v>3179</v>
      </c>
      <c r="B293" s="0" t="s">
        <v>1508</v>
      </c>
      <c r="C293" s="0" t="s">
        <v>429</v>
      </c>
      <c r="D293" s="0" t="s">
        <v>430</v>
      </c>
      <c r="E293" s="0" t="s">
        <v>1123</v>
      </c>
      <c r="F293" s="0" t="n">
        <v>2342</v>
      </c>
      <c r="G293" s="0" t="s">
        <v>138</v>
      </c>
      <c r="H293" s="0" t="n">
        <v>202</v>
      </c>
      <c r="I293" s="0" t="n">
        <v>161</v>
      </c>
      <c r="J293" s="0" t="n">
        <v>286</v>
      </c>
      <c r="K293" s="0" t="n">
        <v>105</v>
      </c>
      <c r="L293" s="0" t="n">
        <v>332</v>
      </c>
      <c r="M293" s="0" t="n">
        <v>0</v>
      </c>
      <c r="N293" s="0" t="n">
        <v>8</v>
      </c>
      <c r="O293" s="0" t="n">
        <v>84</v>
      </c>
      <c r="P293" s="0" t="n">
        <v>35</v>
      </c>
      <c r="Q293" s="114" t="n">
        <v>53</v>
      </c>
      <c r="R293" s="114" t="n">
        <v>160</v>
      </c>
      <c r="S293" s="114" t="n">
        <v>1.25</v>
      </c>
      <c r="T293" s="114" t="n">
        <v>1.65</v>
      </c>
      <c r="U293" s="114" t="n">
        <v>1.25</v>
      </c>
      <c r="V293" s="114" t="n">
        <v>0</v>
      </c>
      <c r="W293" s="0" t="s">
        <v>1505</v>
      </c>
      <c r="X293" s="114" t="s">
        <v>58</v>
      </c>
      <c r="Y293" s="114" t="s">
        <v>58</v>
      </c>
      <c r="Z293" s="114" t="s">
        <v>58</v>
      </c>
      <c r="AA293" s="0" t="s">
        <v>1506</v>
      </c>
      <c r="AB293" s="0" t="s">
        <v>590</v>
      </c>
      <c r="AC293" s="0" t="s">
        <v>1509</v>
      </c>
      <c r="AD293" s="0" t="s">
        <v>1507</v>
      </c>
      <c r="AE293" s="0" t="s">
        <v>592</v>
      </c>
      <c r="AF293" s="0" t="s">
        <v>1510</v>
      </c>
      <c r="AG293" s="0" t="s">
        <v>464</v>
      </c>
      <c r="AH293" s="0" t="s">
        <v>58</v>
      </c>
    </row>
    <row r="294" customFormat="false" ht="14.4" hidden="false" customHeight="false" outlineLevel="0" collapsed="false">
      <c r="S294" s="114"/>
      <c r="T294" s="114"/>
    </row>
    <row r="295" customFormat="false" ht="14.4" hidden="false" customHeight="false" outlineLevel="0" collapsed="false">
      <c r="A295" s="144" t="s">
        <v>415</v>
      </c>
      <c r="B295" s="144" t="s">
        <v>97</v>
      </c>
      <c r="C295" s="144" t="s">
        <v>139</v>
      </c>
      <c r="D295" s="144" t="s">
        <v>416</v>
      </c>
      <c r="E295" s="144" t="s">
        <v>96</v>
      </c>
      <c r="F295" s="144" t="s">
        <v>45</v>
      </c>
      <c r="G295" s="144" t="s">
        <v>417</v>
      </c>
      <c r="H295" s="144" t="s">
        <v>100</v>
      </c>
      <c r="I295" s="144" t="s">
        <v>98</v>
      </c>
      <c r="J295" s="144" t="s">
        <v>99</v>
      </c>
      <c r="K295" s="144" t="s">
        <v>46</v>
      </c>
      <c r="L295" s="144" t="s">
        <v>50</v>
      </c>
      <c r="M295" s="144" t="s">
        <v>262</v>
      </c>
      <c r="N295" s="144" t="s">
        <v>418</v>
      </c>
      <c r="O295" s="144" t="s">
        <v>105</v>
      </c>
      <c r="P295" s="144" t="s">
        <v>419</v>
      </c>
      <c r="Q295" s="145" t="s">
        <v>420</v>
      </c>
      <c r="R295" s="145" t="s">
        <v>421</v>
      </c>
      <c r="S295" s="145" t="s">
        <v>151</v>
      </c>
      <c r="T295" s="145" t="s">
        <v>155</v>
      </c>
      <c r="U295" s="150" t="s">
        <v>380</v>
      </c>
      <c r="V295" s="150" t="s">
        <v>382</v>
      </c>
      <c r="W295" s="150" t="s">
        <v>441</v>
      </c>
      <c r="X295" s="150" t="s">
        <v>452</v>
      </c>
      <c r="Y295" s="150" t="s">
        <v>453</v>
      </c>
      <c r="Z295" s="150" t="s">
        <v>454</v>
      </c>
      <c r="AA295" s="150" t="s">
        <v>422</v>
      </c>
      <c r="AB295" s="150" t="s">
        <v>423</v>
      </c>
      <c r="AC295" s="150" t="s">
        <v>424</v>
      </c>
      <c r="AD295" s="150" t="s">
        <v>455</v>
      </c>
      <c r="AE295" s="150" t="s">
        <v>425</v>
      </c>
      <c r="AF295" s="150" t="s">
        <v>426</v>
      </c>
      <c r="AG295" s="150" t="s">
        <v>427</v>
      </c>
      <c r="AH295" s="150" t="s">
        <v>456</v>
      </c>
    </row>
    <row r="296" customFormat="false" ht="15" hidden="false" customHeight="true" outlineLevel="0" collapsed="false">
      <c r="A296" s="0" t="n">
        <v>246</v>
      </c>
      <c r="B296" s="0" t="s">
        <v>1511</v>
      </c>
      <c r="C296" s="0" t="s">
        <v>1065</v>
      </c>
      <c r="D296" s="0" t="s">
        <v>438</v>
      </c>
      <c r="E296" s="0" t="s">
        <v>1512</v>
      </c>
      <c r="F296" s="0" t="n">
        <v>4361</v>
      </c>
      <c r="G296" s="0" t="s">
        <v>140</v>
      </c>
      <c r="H296" s="0" t="n">
        <v>174</v>
      </c>
      <c r="I296" s="0" t="n">
        <v>298</v>
      </c>
      <c r="J296" s="0" t="n">
        <v>216</v>
      </c>
      <c r="K296" s="0" t="n">
        <v>54</v>
      </c>
      <c r="L296" s="0" t="n">
        <v>154</v>
      </c>
      <c r="M296" s="0" t="n">
        <v>0</v>
      </c>
      <c r="N296" s="0" t="n">
        <v>11</v>
      </c>
      <c r="O296" s="0" t="n">
        <v>0</v>
      </c>
      <c r="P296" s="0" t="n">
        <v>22</v>
      </c>
      <c r="Q296" s="114" t="n">
        <v>36</v>
      </c>
      <c r="R296" s="114" t="n">
        <v>125</v>
      </c>
      <c r="S296" s="114" t="n">
        <v>1.4</v>
      </c>
      <c r="T296" s="114" t="n">
        <v>1.3</v>
      </c>
      <c r="U296" s="114" t="n">
        <v>1</v>
      </c>
      <c r="V296" s="114" t="n">
        <v>0</v>
      </c>
      <c r="W296" s="0" t="s">
        <v>1513</v>
      </c>
      <c r="X296" s="0" t="s">
        <v>1514</v>
      </c>
      <c r="Y296" s="114" t="s">
        <v>58</v>
      </c>
      <c r="Z296" s="114" t="s">
        <v>58</v>
      </c>
      <c r="AA296" s="0" t="s">
        <v>1515</v>
      </c>
      <c r="AB296" s="0" t="s">
        <v>1516</v>
      </c>
      <c r="AC296" s="0" t="s">
        <v>58</v>
      </c>
      <c r="AD296" s="0" t="s">
        <v>58</v>
      </c>
      <c r="AE296" s="0" t="s">
        <v>1517</v>
      </c>
      <c r="AF296" s="0" t="s">
        <v>464</v>
      </c>
      <c r="AG296" s="0" t="s">
        <v>58</v>
      </c>
      <c r="AH296" s="0" t="s">
        <v>58</v>
      </c>
    </row>
    <row r="297" customFormat="false" ht="15" hidden="false" customHeight="true" outlineLevel="0" collapsed="false">
      <c r="A297" s="0" t="n">
        <v>242</v>
      </c>
      <c r="B297" s="0" t="s">
        <v>1518</v>
      </c>
      <c r="C297" s="0" t="s">
        <v>1065</v>
      </c>
      <c r="D297" s="0" t="s">
        <v>438</v>
      </c>
      <c r="E297" s="0" t="s">
        <v>1512</v>
      </c>
      <c r="F297" s="0" t="n">
        <v>4970</v>
      </c>
      <c r="G297" s="0" t="s">
        <v>140</v>
      </c>
      <c r="H297" s="0" t="n">
        <v>176</v>
      </c>
      <c r="I297" s="0" t="n">
        <v>251</v>
      </c>
      <c r="J297" s="0" t="n">
        <v>190</v>
      </c>
      <c r="K297" s="0" t="n">
        <v>61</v>
      </c>
      <c r="L297" s="0" t="n">
        <v>189</v>
      </c>
      <c r="M297" s="0" t="n">
        <v>0</v>
      </c>
      <c r="N297" s="0" t="n">
        <v>11</v>
      </c>
      <c r="O297" s="0" t="n">
        <v>0</v>
      </c>
      <c r="P297" s="0" t="n">
        <v>25</v>
      </c>
      <c r="Q297" s="114" t="n">
        <v>66</v>
      </c>
      <c r="R297" s="114" t="n">
        <v>128</v>
      </c>
      <c r="S297" s="114" t="n">
        <v>1.3</v>
      </c>
      <c r="T297" s="114" t="n">
        <v>1.6</v>
      </c>
      <c r="U297" s="114" t="n">
        <v>1</v>
      </c>
      <c r="V297" s="114" t="n">
        <v>0</v>
      </c>
      <c r="W297" s="0" t="s">
        <v>1519</v>
      </c>
      <c r="X297" s="114" t="s">
        <v>58</v>
      </c>
      <c r="Y297" s="114" t="s">
        <v>58</v>
      </c>
      <c r="Z297" s="114" t="s">
        <v>58</v>
      </c>
      <c r="AA297" s="0" t="s">
        <v>1520</v>
      </c>
      <c r="AB297" s="0" t="s">
        <v>1521</v>
      </c>
      <c r="AC297" s="0" t="s">
        <v>1522</v>
      </c>
      <c r="AD297" s="0" t="s">
        <v>58</v>
      </c>
      <c r="AE297" s="0" t="s">
        <v>1523</v>
      </c>
      <c r="AF297" s="0" t="s">
        <v>1524</v>
      </c>
      <c r="AG297" s="0" t="s">
        <v>464</v>
      </c>
      <c r="AH297" s="0" t="s">
        <v>58</v>
      </c>
    </row>
    <row r="298" customFormat="false" ht="15" hidden="false" customHeight="true" outlineLevel="0" collapsed="false">
      <c r="A298" s="0" t="n">
        <v>422</v>
      </c>
      <c r="B298" s="0" t="s">
        <v>1525</v>
      </c>
      <c r="C298" s="0" t="s">
        <v>1065</v>
      </c>
      <c r="D298" s="0" t="s">
        <v>438</v>
      </c>
      <c r="E298" s="0" t="s">
        <v>394</v>
      </c>
      <c r="F298" s="0" t="n">
        <v>4844</v>
      </c>
      <c r="G298" s="0" t="s">
        <v>140</v>
      </c>
      <c r="H298" s="0" t="n">
        <v>176</v>
      </c>
      <c r="I298" s="0" t="n">
        <v>251</v>
      </c>
      <c r="J298" s="0" t="n">
        <v>185</v>
      </c>
      <c r="K298" s="0" t="n">
        <v>61</v>
      </c>
      <c r="L298" s="0" t="n">
        <v>189</v>
      </c>
      <c r="M298" s="0" t="n">
        <v>0</v>
      </c>
      <c r="N298" s="0" t="n">
        <v>11</v>
      </c>
      <c r="O298" s="0" t="n">
        <v>0</v>
      </c>
      <c r="P298" s="0" t="n">
        <v>25</v>
      </c>
      <c r="Q298" s="0" t="n">
        <v>66</v>
      </c>
      <c r="R298" s="0" t="n">
        <v>128</v>
      </c>
      <c r="S298" s="114" t="n">
        <v>1.3</v>
      </c>
      <c r="T298" s="114" t="n">
        <v>1.6</v>
      </c>
      <c r="U298" s="114" t="n">
        <v>1</v>
      </c>
      <c r="V298" s="114" t="n">
        <v>0</v>
      </c>
      <c r="W298" s="114" t="s">
        <v>1526</v>
      </c>
      <c r="X298" s="114" t="s">
        <v>1527</v>
      </c>
      <c r="Y298" s="114" t="s">
        <v>58</v>
      </c>
      <c r="Z298" s="114" t="s">
        <v>58</v>
      </c>
      <c r="AA298" s="114" t="s">
        <v>1528</v>
      </c>
      <c r="AB298" s="114" t="s">
        <v>1529</v>
      </c>
      <c r="AC298" s="0" t="s">
        <v>1530</v>
      </c>
      <c r="AD298" s="114" t="s">
        <v>58</v>
      </c>
      <c r="AE298" s="114" t="s">
        <v>1531</v>
      </c>
      <c r="AF298" s="114" t="s">
        <v>1532</v>
      </c>
      <c r="AG298" s="114" t="s">
        <v>464</v>
      </c>
      <c r="AH298" s="114" t="s">
        <v>58</v>
      </c>
    </row>
    <row r="299" customFormat="false" ht="15" hidden="false" customHeight="true" outlineLevel="0" collapsed="false">
      <c r="B299" s="0" t="s">
        <v>1533</v>
      </c>
      <c r="C299" s="0" t="s">
        <v>1037</v>
      </c>
      <c r="D299" s="0" t="s">
        <v>430</v>
      </c>
      <c r="E299" s="0" t="s">
        <v>394</v>
      </c>
      <c r="F299" s="0" t="n">
        <v>5021</v>
      </c>
      <c r="G299" s="0" t="s">
        <v>140</v>
      </c>
      <c r="H299" s="0" t="n">
        <v>195</v>
      </c>
      <c r="I299" s="0" t="n">
        <v>279</v>
      </c>
      <c r="J299" s="0" t="n">
        <v>223</v>
      </c>
      <c r="K299" s="0" t="n">
        <v>66</v>
      </c>
      <c r="L299" s="0" t="n">
        <v>244</v>
      </c>
      <c r="M299" s="0" t="n">
        <v>0</v>
      </c>
      <c r="N299" s="0" t="n">
        <v>12</v>
      </c>
      <c r="O299" s="0" t="n">
        <v>0</v>
      </c>
      <c r="P299" s="0" t="n">
        <v>24</v>
      </c>
      <c r="Q299" s="0" t="n">
        <v>50</v>
      </c>
      <c r="R299" s="0" t="n">
        <v>137</v>
      </c>
      <c r="S299" s="114" t="n">
        <v>1.25</v>
      </c>
      <c r="T299" s="114" t="n">
        <v>1.7</v>
      </c>
      <c r="U299" s="114" t="n">
        <v>1</v>
      </c>
      <c r="V299" s="114" t="n">
        <v>0</v>
      </c>
      <c r="W299" s="114" t="s">
        <v>1534</v>
      </c>
      <c r="X299" s="114" t="s">
        <v>1533</v>
      </c>
      <c r="Y299" s="114"/>
      <c r="Z299" s="114"/>
      <c r="AA299" s="114"/>
      <c r="AB299" s="114"/>
      <c r="AC299" s="114"/>
      <c r="AD299" s="114"/>
      <c r="AE299" s="114"/>
      <c r="AF299" s="114"/>
      <c r="AG299" s="114"/>
      <c r="AH299" s="114"/>
    </row>
    <row r="300" customFormat="false" ht="15" hidden="false" customHeight="true" outlineLevel="0" collapsed="false">
      <c r="A300" s="0" t="n">
        <v>192</v>
      </c>
      <c r="B300" s="0" t="s">
        <v>1535</v>
      </c>
      <c r="C300" s="0" t="s">
        <v>429</v>
      </c>
      <c r="D300" s="0" t="s">
        <v>527</v>
      </c>
      <c r="E300" s="0" t="s">
        <v>1512</v>
      </c>
      <c r="F300" s="0" t="n">
        <v>3527</v>
      </c>
      <c r="G300" s="0" t="s">
        <v>140</v>
      </c>
      <c r="H300" s="0" t="n">
        <v>163</v>
      </c>
      <c r="I300" s="0" t="n">
        <v>215</v>
      </c>
      <c r="J300" s="0" t="n">
        <v>190</v>
      </c>
      <c r="K300" s="0" t="n">
        <v>76</v>
      </c>
      <c r="L300" s="0" t="n">
        <v>167</v>
      </c>
      <c r="M300" s="0" t="n">
        <v>0</v>
      </c>
      <c r="N300" s="0" t="n">
        <v>9</v>
      </c>
      <c r="O300" s="0" t="n">
        <v>0</v>
      </c>
      <c r="P300" s="0" t="n">
        <v>32</v>
      </c>
      <c r="Q300" s="114" t="n">
        <v>52</v>
      </c>
      <c r="R300" s="114" t="n">
        <v>111</v>
      </c>
      <c r="S300" s="114" t="n">
        <v>1.3</v>
      </c>
      <c r="T300" s="114" t="n">
        <v>1.65</v>
      </c>
      <c r="U300" s="114" t="n">
        <v>1</v>
      </c>
      <c r="V300" s="114" t="n">
        <v>0</v>
      </c>
      <c r="W300" s="0" t="s">
        <v>1536</v>
      </c>
      <c r="X300" s="114" t="s">
        <v>58</v>
      </c>
      <c r="Y300" s="114" t="s">
        <v>58</v>
      </c>
      <c r="Z300" s="114" t="s">
        <v>58</v>
      </c>
      <c r="AA300" s="0" t="s">
        <v>590</v>
      </c>
      <c r="AB300" s="0" t="s">
        <v>1537</v>
      </c>
      <c r="AC300" s="0" t="s">
        <v>58</v>
      </c>
      <c r="AD300" s="0" t="s">
        <v>58</v>
      </c>
      <c r="AE300" s="0" t="s">
        <v>592</v>
      </c>
      <c r="AF300" s="0" t="s">
        <v>464</v>
      </c>
      <c r="AG300" s="0" t="s">
        <v>58</v>
      </c>
      <c r="AH300" s="0" t="s">
        <v>58</v>
      </c>
    </row>
    <row r="301" customFormat="false" ht="15" hidden="false" customHeight="true" outlineLevel="0" collapsed="false">
      <c r="A301" s="0" t="n">
        <v>198</v>
      </c>
      <c r="B301" s="0" t="s">
        <v>1538</v>
      </c>
      <c r="C301" s="0" t="s">
        <v>429</v>
      </c>
      <c r="D301" s="0" t="s">
        <v>438</v>
      </c>
      <c r="E301" s="0" t="s">
        <v>1512</v>
      </c>
      <c r="F301" s="0" t="n">
        <v>4162</v>
      </c>
      <c r="G301" s="0" t="s">
        <v>140</v>
      </c>
      <c r="H301" s="0" t="n">
        <v>168</v>
      </c>
      <c r="I301" s="0" t="n">
        <v>234</v>
      </c>
      <c r="J301" s="0" t="n">
        <v>223</v>
      </c>
      <c r="K301" s="0" t="n">
        <v>75</v>
      </c>
      <c r="L301" s="0" t="n">
        <v>171</v>
      </c>
      <c r="M301" s="0" t="n">
        <v>0</v>
      </c>
      <c r="N301" s="0" t="n">
        <v>11</v>
      </c>
      <c r="O301" s="0" t="n">
        <v>0</v>
      </c>
      <c r="P301" s="0" t="n">
        <v>28</v>
      </c>
      <c r="Q301" s="114" t="n">
        <v>60</v>
      </c>
      <c r="R301" s="114" t="n">
        <v>125</v>
      </c>
      <c r="S301" s="114" t="n">
        <v>1.3</v>
      </c>
      <c r="T301" s="114" t="n">
        <v>1.65</v>
      </c>
      <c r="U301" s="114" t="n">
        <v>1</v>
      </c>
      <c r="V301" s="114" t="n">
        <v>0</v>
      </c>
      <c r="W301" s="0" t="s">
        <v>1539</v>
      </c>
      <c r="X301" s="114" t="s">
        <v>58</v>
      </c>
      <c r="Y301" s="114" t="s">
        <v>58</v>
      </c>
      <c r="Z301" s="114" t="s">
        <v>58</v>
      </c>
      <c r="AA301" s="0" t="s">
        <v>1540</v>
      </c>
      <c r="AB301" s="0" t="s">
        <v>1541</v>
      </c>
      <c r="AC301" s="0" t="s">
        <v>58</v>
      </c>
      <c r="AD301" s="0" t="s">
        <v>58</v>
      </c>
      <c r="AE301" s="0" t="s">
        <v>1542</v>
      </c>
      <c r="AF301" s="0" t="s">
        <v>464</v>
      </c>
      <c r="AG301" s="0" t="s">
        <v>58</v>
      </c>
      <c r="AH301" s="0" t="s">
        <v>58</v>
      </c>
    </row>
    <row r="302" customFormat="false" ht="15" hidden="false" customHeight="true" outlineLevel="0" collapsed="false">
      <c r="A302" s="0" t="n">
        <v>46</v>
      </c>
      <c r="B302" s="0" t="s">
        <v>1543</v>
      </c>
      <c r="C302" s="0" t="s">
        <v>437</v>
      </c>
      <c r="D302" s="0" t="s">
        <v>438</v>
      </c>
      <c r="E302" s="0" t="s">
        <v>1512</v>
      </c>
      <c r="F302" s="0" t="n">
        <v>3881</v>
      </c>
      <c r="G302" s="0" t="s">
        <v>140</v>
      </c>
      <c r="H302" s="0" t="n">
        <v>161</v>
      </c>
      <c r="I302" s="0" t="n">
        <v>218</v>
      </c>
      <c r="J302" s="0" t="n">
        <v>0</v>
      </c>
      <c r="K302" s="0" t="n">
        <v>57</v>
      </c>
      <c r="L302" s="0" t="n">
        <v>226</v>
      </c>
      <c r="M302" s="0" t="n">
        <v>0</v>
      </c>
      <c r="N302" s="0" t="n">
        <v>11</v>
      </c>
      <c r="O302" s="0" t="n">
        <v>0</v>
      </c>
      <c r="P302" s="0" t="n">
        <v>26</v>
      </c>
      <c r="Q302" s="114" t="n">
        <v>15</v>
      </c>
      <c r="R302" s="114" t="n">
        <v>122</v>
      </c>
      <c r="S302" s="114" t="n">
        <v>1.15</v>
      </c>
      <c r="T302" s="114" t="n">
        <v>0.6</v>
      </c>
      <c r="U302" s="114" t="n">
        <v>1.3</v>
      </c>
      <c r="V302" s="114" t="n">
        <v>0</v>
      </c>
      <c r="W302" s="0" t="s">
        <v>1544</v>
      </c>
      <c r="X302" s="114" t="s">
        <v>58</v>
      </c>
      <c r="Y302" s="114" t="s">
        <v>58</v>
      </c>
      <c r="Z302" s="114" t="s">
        <v>58</v>
      </c>
      <c r="AA302" s="0" t="s">
        <v>1545</v>
      </c>
      <c r="AB302" s="0" t="s">
        <v>1546</v>
      </c>
      <c r="AC302" s="0" t="s">
        <v>1547</v>
      </c>
      <c r="AD302" s="0" t="s">
        <v>58</v>
      </c>
      <c r="AE302" s="0" t="s">
        <v>1548</v>
      </c>
      <c r="AF302" s="0" t="s">
        <v>1549</v>
      </c>
      <c r="AG302" s="0" t="s">
        <v>464</v>
      </c>
      <c r="AH302" s="0" t="s">
        <v>58</v>
      </c>
    </row>
    <row r="303" customFormat="false" ht="15" hidden="false" customHeight="true" outlineLevel="0" collapsed="false">
      <c r="A303" s="0" t="n">
        <v>201</v>
      </c>
      <c r="B303" s="0" t="s">
        <v>1550</v>
      </c>
      <c r="C303" s="0" t="s">
        <v>429</v>
      </c>
      <c r="D303" s="0" t="s">
        <v>430</v>
      </c>
      <c r="E303" s="0" t="s">
        <v>1512</v>
      </c>
      <c r="F303" s="0" t="n">
        <v>4295</v>
      </c>
      <c r="G303" s="0" t="s">
        <v>140</v>
      </c>
      <c r="H303" s="0" t="n">
        <v>175</v>
      </c>
      <c r="I303" s="0" t="n">
        <v>270</v>
      </c>
      <c r="J303" s="0" t="n">
        <v>245</v>
      </c>
      <c r="K303" s="0" t="n">
        <v>79</v>
      </c>
      <c r="L303" s="0" t="n">
        <v>178</v>
      </c>
      <c r="M303" s="0" t="n">
        <v>0</v>
      </c>
      <c r="N303" s="0" t="n">
        <v>12</v>
      </c>
      <c r="O303" s="0" t="n">
        <v>0</v>
      </c>
      <c r="P303" s="0" t="n">
        <v>31</v>
      </c>
      <c r="Q303" s="114" t="n">
        <v>48</v>
      </c>
      <c r="R303" s="114" t="n">
        <v>134</v>
      </c>
      <c r="S303" s="114" t="n">
        <v>1.35</v>
      </c>
      <c r="T303" s="114" t="n">
        <v>1.7</v>
      </c>
      <c r="U303" s="114" t="n">
        <v>1</v>
      </c>
      <c r="V303" s="114" t="n">
        <v>0</v>
      </c>
      <c r="W303" s="0" t="s">
        <v>1551</v>
      </c>
      <c r="X303" s="114" t="s">
        <v>58</v>
      </c>
      <c r="Y303" s="114" t="s">
        <v>58</v>
      </c>
      <c r="Z303" s="114" t="s">
        <v>58</v>
      </c>
      <c r="AA303" s="0" t="s">
        <v>1552</v>
      </c>
      <c r="AB303" s="0" t="s">
        <v>518</v>
      </c>
      <c r="AC303" s="0" t="s">
        <v>1553</v>
      </c>
      <c r="AD303" s="0" t="s">
        <v>58</v>
      </c>
      <c r="AE303" s="0" t="s">
        <v>1554</v>
      </c>
      <c r="AF303" s="0" t="s">
        <v>520</v>
      </c>
      <c r="AG303" s="0" t="s">
        <v>464</v>
      </c>
      <c r="AH303" s="0" t="s">
        <v>58</v>
      </c>
    </row>
    <row r="304" customFormat="false" ht="15" hidden="false" customHeight="true" outlineLevel="0" collapsed="false">
      <c r="A304" s="0" t="s">
        <v>1555</v>
      </c>
      <c r="B304" s="0" t="s">
        <v>1556</v>
      </c>
      <c r="C304" s="0" t="s">
        <v>429</v>
      </c>
      <c r="D304" s="0" t="s">
        <v>1344</v>
      </c>
      <c r="E304" s="0" t="s">
        <v>1557</v>
      </c>
      <c r="F304" s="0" t="n">
        <v>7541</v>
      </c>
      <c r="G304" s="0" t="s">
        <v>140</v>
      </c>
      <c r="H304" s="0" t="n">
        <v>170</v>
      </c>
      <c r="I304" s="0" t="n">
        <v>307</v>
      </c>
      <c r="J304" s="0" t="n">
        <v>0</v>
      </c>
      <c r="K304" s="0" t="n">
        <v>50</v>
      </c>
      <c r="L304" s="0" t="n">
        <v>226</v>
      </c>
      <c r="M304" s="0" t="n">
        <v>0</v>
      </c>
      <c r="N304" s="0" t="n">
        <v>16</v>
      </c>
      <c r="O304" s="0" t="n">
        <v>0</v>
      </c>
      <c r="P304" s="0" t="n">
        <v>27</v>
      </c>
      <c r="Q304" s="0" t="n">
        <v>0</v>
      </c>
      <c r="R304" s="0" t="n">
        <v>123</v>
      </c>
      <c r="S304" s="114" t="n">
        <v>1</v>
      </c>
      <c r="T304" s="114" t="n">
        <v>0.6</v>
      </c>
      <c r="U304" s="114" t="n">
        <v>1.1</v>
      </c>
      <c r="V304" s="114" t="n">
        <v>0</v>
      </c>
      <c r="W304" s="0" t="s">
        <v>1558</v>
      </c>
      <c r="X304" s="0" t="s">
        <v>1559</v>
      </c>
      <c r="Y304" s="0" t="s">
        <v>1560</v>
      </c>
      <c r="Z304" s="114" t="s">
        <v>58</v>
      </c>
      <c r="AA304" s="0" t="s">
        <v>1561</v>
      </c>
      <c r="AB304" s="0" t="s">
        <v>1562</v>
      </c>
      <c r="AC304" s="0" t="s">
        <v>1563</v>
      </c>
      <c r="AD304" s="0" t="s">
        <v>818</v>
      </c>
      <c r="AE304" s="0" t="s">
        <v>1564</v>
      </c>
      <c r="AF304" s="0" t="s">
        <v>1565</v>
      </c>
      <c r="AG304" s="0" t="s">
        <v>1566</v>
      </c>
      <c r="AH304" s="0" t="s">
        <v>822</v>
      </c>
    </row>
    <row r="305" customFormat="false" ht="15" hidden="false" customHeight="true" outlineLevel="0" collapsed="false">
      <c r="A305" s="0" t="n">
        <v>50</v>
      </c>
      <c r="B305" s="0" t="s">
        <v>1567</v>
      </c>
      <c r="C305" s="0" t="s">
        <v>437</v>
      </c>
      <c r="D305" s="0" t="s">
        <v>430</v>
      </c>
      <c r="E305" s="0" t="s">
        <v>394</v>
      </c>
      <c r="F305" s="0" t="n">
        <v>4591</v>
      </c>
      <c r="G305" s="0" t="s">
        <v>140</v>
      </c>
      <c r="H305" s="0" t="n">
        <v>185</v>
      </c>
      <c r="I305" s="0" t="n">
        <v>270</v>
      </c>
      <c r="J305" s="0" t="n">
        <v>0</v>
      </c>
      <c r="K305" s="0" t="n">
        <v>57</v>
      </c>
      <c r="L305" s="0" t="n">
        <v>260</v>
      </c>
      <c r="M305" s="0" t="n">
        <v>0</v>
      </c>
      <c r="N305" s="0" t="n">
        <v>11</v>
      </c>
      <c r="O305" s="0" t="n">
        <v>0</v>
      </c>
      <c r="P305" s="0" t="n">
        <v>26</v>
      </c>
      <c r="Q305" s="0" t="n">
        <v>56</v>
      </c>
      <c r="R305" s="0" t="n">
        <v>136</v>
      </c>
      <c r="S305" s="114" t="n">
        <v>1.3</v>
      </c>
      <c r="T305" s="114" t="n">
        <v>0.75</v>
      </c>
      <c r="U305" s="114" t="n">
        <v>1.35</v>
      </c>
      <c r="V305" s="114" t="n">
        <v>0</v>
      </c>
      <c r="W305" s="114" t="s">
        <v>1568</v>
      </c>
      <c r="X305" s="114" t="s">
        <v>58</v>
      </c>
      <c r="Y305" s="114" t="s">
        <v>58</v>
      </c>
      <c r="Z305" s="114" t="s">
        <v>58</v>
      </c>
      <c r="AA305" s="0" t="s">
        <v>1569</v>
      </c>
      <c r="AB305" s="0" t="s">
        <v>1570</v>
      </c>
      <c r="AC305" s="0" t="s">
        <v>1571</v>
      </c>
      <c r="AD305" s="0" t="s">
        <v>58</v>
      </c>
      <c r="AE305" s="0" t="s">
        <v>1572</v>
      </c>
      <c r="AF305" s="0" t="s">
        <v>1573</v>
      </c>
      <c r="AG305" s="0" t="s">
        <v>464</v>
      </c>
      <c r="AH305" s="0" t="s">
        <v>58</v>
      </c>
    </row>
    <row r="306" customFormat="false" ht="15" hidden="false" customHeight="true" outlineLevel="0" collapsed="false">
      <c r="A306" s="0" t="s">
        <v>1574</v>
      </c>
      <c r="B306" s="0" t="s">
        <v>1575</v>
      </c>
      <c r="C306" s="0" t="s">
        <v>562</v>
      </c>
      <c r="D306" s="0" t="s">
        <v>430</v>
      </c>
      <c r="E306" s="0" t="s">
        <v>1512</v>
      </c>
      <c r="F306" s="0" t="n">
        <v>4062</v>
      </c>
      <c r="G306" s="0" t="s">
        <v>140</v>
      </c>
      <c r="H306" s="0" t="n">
        <v>170</v>
      </c>
      <c r="I306" s="0" t="n">
        <v>251</v>
      </c>
      <c r="J306" s="0" t="n">
        <v>218</v>
      </c>
      <c r="K306" s="0" t="n">
        <v>68</v>
      </c>
      <c r="L306" s="0" t="n">
        <v>193</v>
      </c>
      <c r="M306" s="0" t="n">
        <v>0</v>
      </c>
      <c r="N306" s="0" t="n">
        <v>12</v>
      </c>
      <c r="O306" s="0" t="n">
        <v>0</v>
      </c>
      <c r="P306" s="0" t="n">
        <v>27</v>
      </c>
      <c r="Q306" s="114" t="n">
        <v>83</v>
      </c>
      <c r="R306" s="114" t="n">
        <v>126</v>
      </c>
      <c r="S306" s="114" t="n">
        <v>1.3</v>
      </c>
      <c r="T306" s="114" t="n">
        <v>1.65</v>
      </c>
      <c r="U306" s="114" t="n">
        <v>1.1</v>
      </c>
      <c r="V306" s="114" t="n">
        <v>0</v>
      </c>
      <c r="W306" s="152" t="s">
        <v>1576</v>
      </c>
      <c r="X306" s="152" t="s">
        <v>1577</v>
      </c>
      <c r="Y306" s="152" t="s">
        <v>1578</v>
      </c>
      <c r="Z306" s="114" t="s">
        <v>58</v>
      </c>
      <c r="AA306" s="0" t="s">
        <v>1579</v>
      </c>
      <c r="AB306" s="0" t="s">
        <v>1580</v>
      </c>
      <c r="AC306" s="0" t="s">
        <v>58</v>
      </c>
      <c r="AD306" s="0" t="s">
        <v>58</v>
      </c>
      <c r="AE306" s="0" t="s">
        <v>1581</v>
      </c>
      <c r="AF306" s="0" t="s">
        <v>1582</v>
      </c>
      <c r="AG306" s="0" t="s">
        <v>58</v>
      </c>
      <c r="AH306" s="0" t="s">
        <v>58</v>
      </c>
    </row>
    <row r="307" customFormat="false" ht="15" hidden="false" customHeight="true" outlineLevel="0" collapsed="false">
      <c r="B307" s="0" t="s">
        <v>1583</v>
      </c>
      <c r="C307" s="0" t="s">
        <v>437</v>
      </c>
      <c r="D307" s="0" t="s">
        <v>430</v>
      </c>
      <c r="E307" s="0" t="s">
        <v>394</v>
      </c>
      <c r="F307" s="0" t="n">
        <v>4828</v>
      </c>
      <c r="G307" s="0" t="s">
        <v>140</v>
      </c>
      <c r="H307" s="0" t="n">
        <v>184</v>
      </c>
      <c r="I307" s="0" t="n">
        <v>267</v>
      </c>
      <c r="J307" s="0" t="n">
        <v>0</v>
      </c>
      <c r="K307" s="0" t="n">
        <v>57</v>
      </c>
      <c r="L307" s="0" t="n">
        <v>266</v>
      </c>
      <c r="M307" s="0" t="n">
        <v>0</v>
      </c>
      <c r="N307" s="0" t="n">
        <v>12</v>
      </c>
      <c r="O307" s="0" t="n">
        <v>0</v>
      </c>
      <c r="P307" s="0" t="n">
        <v>26</v>
      </c>
      <c r="Q307" s="0" t="n">
        <v>55</v>
      </c>
      <c r="R307" s="0" t="n">
        <v>136</v>
      </c>
      <c r="S307" s="114" t="n">
        <v>1.25</v>
      </c>
      <c r="T307" s="114" t="n">
        <v>0.7</v>
      </c>
      <c r="U307" s="114" t="n">
        <v>1.4</v>
      </c>
      <c r="V307" s="114" t="n">
        <v>0</v>
      </c>
      <c r="W307" s="114" t="s">
        <v>1568</v>
      </c>
      <c r="X307" s="114" t="s">
        <v>1583</v>
      </c>
      <c r="Y307" s="114"/>
      <c r="Z307" s="114"/>
      <c r="AA307" s="114"/>
      <c r="AB307" s="114"/>
      <c r="AC307" s="114"/>
      <c r="AD307" s="114"/>
      <c r="AE307" s="114"/>
      <c r="AF307" s="114"/>
      <c r="AG307" s="114"/>
      <c r="AH307" s="114"/>
    </row>
    <row r="308" customFormat="false" ht="15" hidden="false" customHeight="true" outlineLevel="0" collapsed="false">
      <c r="B308" s="0" t="s">
        <v>1584</v>
      </c>
      <c r="C308" s="0" t="s">
        <v>471</v>
      </c>
      <c r="D308" s="0" t="s">
        <v>1344</v>
      </c>
      <c r="E308" s="0" t="s">
        <v>394</v>
      </c>
      <c r="F308" s="0" t="n">
        <v>5141</v>
      </c>
      <c r="G308" s="0" t="s">
        <v>140</v>
      </c>
      <c r="H308" s="0" t="n">
        <v>156</v>
      </c>
      <c r="I308" s="0" t="n">
        <v>282</v>
      </c>
      <c r="J308" s="0" t="n">
        <v>208</v>
      </c>
      <c r="K308" s="0" t="n">
        <v>76</v>
      </c>
      <c r="L308" s="0" t="n">
        <v>409</v>
      </c>
      <c r="M308" s="0" t="n">
        <v>0</v>
      </c>
      <c r="N308" s="0" t="n">
        <v>13</v>
      </c>
      <c r="O308" s="0" t="n">
        <v>0</v>
      </c>
      <c r="P308" s="0" t="n">
        <v>27</v>
      </c>
      <c r="Q308" s="0" t="n">
        <v>0</v>
      </c>
      <c r="R308" s="0" t="n">
        <v>130</v>
      </c>
      <c r="S308" s="114" t="n">
        <v>1.4</v>
      </c>
      <c r="T308" s="114" t="n">
        <v>1.55</v>
      </c>
      <c r="U308" s="114" t="n">
        <v>1.55</v>
      </c>
      <c r="V308" s="114" t="n">
        <v>0</v>
      </c>
      <c r="W308" s="0" t="s">
        <v>1585</v>
      </c>
      <c r="X308" s="0" t="s">
        <v>1586</v>
      </c>
      <c r="Y308" s="114"/>
      <c r="Z308" s="114"/>
      <c r="AA308" s="114"/>
      <c r="AB308" s="114"/>
      <c r="AC308" s="114"/>
      <c r="AD308" s="114"/>
      <c r="AE308" s="114"/>
      <c r="AF308" s="114"/>
      <c r="AG308" s="114"/>
      <c r="AH308" s="114"/>
    </row>
    <row r="309" customFormat="false" ht="15" hidden="false" customHeight="true" outlineLevel="0" collapsed="false">
      <c r="A309" s="0" t="n">
        <v>42</v>
      </c>
      <c r="B309" s="0" t="s">
        <v>1587</v>
      </c>
      <c r="C309" s="0" t="s">
        <v>437</v>
      </c>
      <c r="D309" s="0" t="s">
        <v>472</v>
      </c>
      <c r="E309" s="0" t="s">
        <v>1512</v>
      </c>
      <c r="F309" s="0" t="n">
        <v>3393</v>
      </c>
      <c r="G309" s="0" t="s">
        <v>138</v>
      </c>
      <c r="H309" s="0" t="n">
        <v>167</v>
      </c>
      <c r="I309" s="0" t="n">
        <v>240</v>
      </c>
      <c r="J309" s="0" t="n">
        <v>0</v>
      </c>
      <c r="K309" s="0" t="n">
        <v>53</v>
      </c>
      <c r="L309" s="0" t="n">
        <v>204</v>
      </c>
      <c r="M309" s="0" t="n">
        <v>0</v>
      </c>
      <c r="N309" s="0" t="n">
        <v>10</v>
      </c>
      <c r="O309" s="0" t="n">
        <v>0</v>
      </c>
      <c r="P309" s="0" t="n">
        <v>26</v>
      </c>
      <c r="Q309" s="114" t="n">
        <v>32</v>
      </c>
      <c r="R309" s="114" t="n">
        <v>121</v>
      </c>
      <c r="S309" s="114" t="n">
        <v>1.2</v>
      </c>
      <c r="T309" s="114" t="n">
        <v>0.55</v>
      </c>
      <c r="U309" s="114" t="n">
        <v>1.05</v>
      </c>
      <c r="V309" s="114" t="n">
        <v>0</v>
      </c>
      <c r="W309" s="0" t="s">
        <v>1588</v>
      </c>
      <c r="X309" s="114" t="s">
        <v>58</v>
      </c>
      <c r="Y309" s="114" t="s">
        <v>58</v>
      </c>
      <c r="Z309" s="114" t="s">
        <v>58</v>
      </c>
      <c r="AA309" s="0" t="s">
        <v>1589</v>
      </c>
      <c r="AB309" s="0" t="s">
        <v>1590</v>
      </c>
      <c r="AC309" s="0" t="s">
        <v>58</v>
      </c>
      <c r="AD309" s="0" t="s">
        <v>58</v>
      </c>
      <c r="AE309" s="0" t="s">
        <v>1591</v>
      </c>
      <c r="AF309" s="0" t="s">
        <v>464</v>
      </c>
      <c r="AG309" s="0" t="s">
        <v>58</v>
      </c>
      <c r="AH309" s="0" t="s">
        <v>58</v>
      </c>
    </row>
    <row r="310" customFormat="false" ht="15" hidden="false" customHeight="true" outlineLevel="0" collapsed="false">
      <c r="A310" s="0" t="n">
        <v>203</v>
      </c>
      <c r="B310" s="0" t="s">
        <v>1592</v>
      </c>
      <c r="C310" s="0" t="s">
        <v>429</v>
      </c>
      <c r="D310" s="0" t="s">
        <v>430</v>
      </c>
      <c r="E310" s="0" t="s">
        <v>1512</v>
      </c>
      <c r="F310" s="0" t="n">
        <v>4295</v>
      </c>
      <c r="G310" s="0" t="s">
        <v>140</v>
      </c>
      <c r="H310" s="0" t="n">
        <v>175</v>
      </c>
      <c r="I310" s="0" t="n">
        <v>261</v>
      </c>
      <c r="J310" s="0" t="n">
        <v>221</v>
      </c>
      <c r="K310" s="0" t="n">
        <v>79</v>
      </c>
      <c r="L310" s="0" t="n">
        <v>178</v>
      </c>
      <c r="M310" s="0" t="n">
        <v>0</v>
      </c>
      <c r="N310" s="0" t="n">
        <v>12</v>
      </c>
      <c r="O310" s="0" t="n">
        <v>0</v>
      </c>
      <c r="P310" s="0" t="n">
        <v>31</v>
      </c>
      <c r="Q310" s="114" t="n">
        <v>50</v>
      </c>
      <c r="R310" s="114" t="n">
        <v>134</v>
      </c>
      <c r="S310" s="114" t="n">
        <v>1.25</v>
      </c>
      <c r="T310" s="114" t="n">
        <v>1.3</v>
      </c>
      <c r="U310" s="114" t="n">
        <v>1.1</v>
      </c>
      <c r="V310" s="114" t="n">
        <v>0</v>
      </c>
      <c r="W310" s="0" t="s">
        <v>1551</v>
      </c>
      <c r="X310" s="114" t="s">
        <v>58</v>
      </c>
      <c r="Y310" s="114" t="s">
        <v>58</v>
      </c>
      <c r="Z310" s="114" t="s">
        <v>58</v>
      </c>
      <c r="AA310" s="0" t="s">
        <v>1593</v>
      </c>
      <c r="AB310" s="0" t="s">
        <v>1594</v>
      </c>
      <c r="AC310" s="0" t="s">
        <v>1595</v>
      </c>
      <c r="AD310" s="0" t="s">
        <v>58</v>
      </c>
      <c r="AE310" s="0" t="s">
        <v>1596</v>
      </c>
      <c r="AF310" s="0" t="s">
        <v>1591</v>
      </c>
      <c r="AG310" s="0" t="s">
        <v>464</v>
      </c>
      <c r="AH310" s="0" t="s">
        <v>58</v>
      </c>
    </row>
    <row r="311" customFormat="false" ht="15" hidden="false" customHeight="true" outlineLevel="0" collapsed="false">
      <c r="A311" s="0" t="n">
        <v>245</v>
      </c>
      <c r="B311" s="0" t="s">
        <v>1597</v>
      </c>
      <c r="C311" s="0" t="s">
        <v>1065</v>
      </c>
      <c r="D311" s="0" t="s">
        <v>438</v>
      </c>
      <c r="E311" s="0" t="s">
        <v>1512</v>
      </c>
      <c r="F311" s="0" t="n">
        <v>4018</v>
      </c>
      <c r="G311" s="0" t="s">
        <v>140</v>
      </c>
      <c r="H311" s="0" t="n">
        <v>176</v>
      </c>
      <c r="I311" s="0" t="n">
        <v>301</v>
      </c>
      <c r="J311" s="0" t="n">
        <v>220</v>
      </c>
      <c r="K311" s="0" t="n">
        <v>53</v>
      </c>
      <c r="L311" s="0" t="n">
        <v>154</v>
      </c>
      <c r="M311" s="0" t="n">
        <v>0</v>
      </c>
      <c r="N311" s="0" t="n">
        <v>11</v>
      </c>
      <c r="O311" s="0" t="n">
        <v>0</v>
      </c>
      <c r="P311" s="0" t="n">
        <v>22</v>
      </c>
      <c r="Q311" s="114" t="n">
        <v>72</v>
      </c>
      <c r="R311" s="114" t="n">
        <v>131</v>
      </c>
      <c r="S311" s="114" t="n">
        <v>1.4</v>
      </c>
      <c r="T311" s="114" t="n">
        <v>1.3</v>
      </c>
      <c r="U311" s="114" t="n">
        <v>1</v>
      </c>
      <c r="V311" s="114" t="n">
        <v>0</v>
      </c>
      <c r="W311" s="0" t="s">
        <v>1513</v>
      </c>
      <c r="X311" s="0" t="s">
        <v>1514</v>
      </c>
      <c r="Y311" s="114" t="s">
        <v>58</v>
      </c>
      <c r="Z311" s="114" t="s">
        <v>58</v>
      </c>
      <c r="AA311" s="0" t="s">
        <v>1598</v>
      </c>
      <c r="AB311" s="0" t="s">
        <v>1599</v>
      </c>
      <c r="AC311" s="0" t="s">
        <v>58</v>
      </c>
      <c r="AD311" s="0" t="s">
        <v>58</v>
      </c>
      <c r="AE311" s="0" t="s">
        <v>1517</v>
      </c>
      <c r="AF311" s="0" t="s">
        <v>464</v>
      </c>
      <c r="AG311" s="0" t="s">
        <v>58</v>
      </c>
      <c r="AH311" s="0" t="s">
        <v>58</v>
      </c>
    </row>
    <row r="312" customFormat="false" ht="15" hidden="false" customHeight="true" outlineLevel="0" collapsed="false">
      <c r="A312" s="0" t="n">
        <v>124</v>
      </c>
      <c r="B312" s="0" t="s">
        <v>1600</v>
      </c>
      <c r="C312" s="0" t="s">
        <v>471</v>
      </c>
      <c r="D312" s="0" t="s">
        <v>438</v>
      </c>
      <c r="E312" s="0" t="s">
        <v>1512</v>
      </c>
      <c r="F312" s="0" t="n">
        <v>4755</v>
      </c>
      <c r="G312" s="0" t="s">
        <v>140</v>
      </c>
      <c r="H312" s="0" t="n">
        <v>165</v>
      </c>
      <c r="I312" s="0" t="n">
        <v>182</v>
      </c>
      <c r="J312" s="0" t="n">
        <v>245</v>
      </c>
      <c r="K312" s="0" t="n">
        <v>68</v>
      </c>
      <c r="L312" s="0" t="n">
        <v>249</v>
      </c>
      <c r="M312" s="0" t="n">
        <v>0</v>
      </c>
      <c r="N312" s="0" t="n">
        <v>10</v>
      </c>
      <c r="O312" s="0" t="n">
        <v>0</v>
      </c>
      <c r="P312" s="0" t="n">
        <v>25</v>
      </c>
      <c r="Q312" s="114" t="n">
        <v>33</v>
      </c>
      <c r="R312" s="114" t="n">
        <v>116</v>
      </c>
      <c r="S312" s="114" t="n">
        <v>1.25</v>
      </c>
      <c r="T312" s="114" t="n">
        <v>1.5</v>
      </c>
      <c r="U312" s="114" t="n">
        <v>1.2</v>
      </c>
      <c r="V312" s="114" t="n">
        <v>0</v>
      </c>
      <c r="W312" s="0" t="s">
        <v>1601</v>
      </c>
      <c r="X312" s="114" t="s">
        <v>58</v>
      </c>
      <c r="Y312" s="114" t="s">
        <v>58</v>
      </c>
      <c r="Z312" s="114" t="s">
        <v>58</v>
      </c>
      <c r="AA312" s="0" t="s">
        <v>1602</v>
      </c>
      <c r="AB312" s="0" t="s">
        <v>1603</v>
      </c>
      <c r="AC312" s="0" t="s">
        <v>58</v>
      </c>
      <c r="AD312" s="0" t="s">
        <v>58</v>
      </c>
      <c r="AE312" s="0" t="s">
        <v>1604</v>
      </c>
      <c r="AF312" s="0" t="s">
        <v>464</v>
      </c>
      <c r="AG312" s="0" t="s">
        <v>58</v>
      </c>
      <c r="AH312" s="0" t="s">
        <v>58</v>
      </c>
    </row>
    <row r="313" customFormat="false" ht="15" hidden="false" customHeight="true" outlineLevel="0" collapsed="false">
      <c r="B313" s="0" t="s">
        <v>1605</v>
      </c>
      <c r="C313" s="0" t="s">
        <v>471</v>
      </c>
      <c r="D313" s="0" t="s">
        <v>1344</v>
      </c>
      <c r="E313" s="0" t="s">
        <v>394</v>
      </c>
      <c r="F313" s="0" t="n">
        <v>5668</v>
      </c>
      <c r="G313" s="0" t="s">
        <v>140</v>
      </c>
      <c r="H313" s="0" t="n">
        <v>139</v>
      </c>
      <c r="I313" s="0" t="n">
        <v>289</v>
      </c>
      <c r="J313" s="0" t="n">
        <v>245</v>
      </c>
      <c r="K313" s="0" t="n">
        <v>75</v>
      </c>
      <c r="L313" s="0" t="n">
        <v>289</v>
      </c>
      <c r="M313" s="0" t="n">
        <v>0</v>
      </c>
      <c r="N313" s="0" t="n">
        <v>13</v>
      </c>
      <c r="O313" s="0" t="n">
        <v>0</v>
      </c>
      <c r="P313" s="0" t="n">
        <v>26</v>
      </c>
      <c r="Q313" s="0" t="n">
        <v>0</v>
      </c>
      <c r="R313" s="0" t="n">
        <v>145</v>
      </c>
      <c r="S313" s="114" t="n">
        <v>1.3</v>
      </c>
      <c r="T313" s="114" t="n">
        <v>1.2</v>
      </c>
      <c r="U313" s="114" t="n">
        <v>1.25</v>
      </c>
      <c r="V313" s="114" t="n">
        <v>0</v>
      </c>
      <c r="W313" s="114" t="s">
        <v>1606</v>
      </c>
      <c r="X313" s="114" t="s">
        <v>1607</v>
      </c>
      <c r="Y313" s="114" t="s">
        <v>1608</v>
      </c>
      <c r="Z313" s="114" t="s">
        <v>1609</v>
      </c>
      <c r="AA313" s="114"/>
      <c r="AB313" s="114"/>
      <c r="AC313" s="114"/>
      <c r="AD313" s="114"/>
      <c r="AE313" s="114"/>
      <c r="AF313" s="114"/>
      <c r="AG313" s="114"/>
      <c r="AH313" s="114"/>
    </row>
    <row r="314" customFormat="false" ht="15" hidden="false" customHeight="true" outlineLevel="0" collapsed="false">
      <c r="A314" s="0" t="s">
        <v>1610</v>
      </c>
      <c r="B314" s="0" t="s">
        <v>1611</v>
      </c>
      <c r="C314" s="0" t="s">
        <v>831</v>
      </c>
      <c r="D314" s="0" t="s">
        <v>430</v>
      </c>
      <c r="E314" s="0" t="s">
        <v>394</v>
      </c>
      <c r="F314" s="0" t="n">
        <v>5020</v>
      </c>
      <c r="G314" s="0" t="s">
        <v>140</v>
      </c>
      <c r="H314" s="0" t="n">
        <v>175</v>
      </c>
      <c r="I314" s="0" t="n">
        <v>255</v>
      </c>
      <c r="J314" s="0" t="n">
        <v>0</v>
      </c>
      <c r="K314" s="0" t="n">
        <v>53</v>
      </c>
      <c r="L314" s="0" t="n">
        <v>225</v>
      </c>
      <c r="M314" s="0" t="n">
        <v>0</v>
      </c>
      <c r="N314" s="0" t="n">
        <v>12</v>
      </c>
      <c r="O314" s="0" t="n">
        <v>0</v>
      </c>
      <c r="P314" s="0" t="n">
        <v>28</v>
      </c>
      <c r="Q314" s="0" t="n">
        <v>66</v>
      </c>
      <c r="R314" s="0" t="n">
        <v>131</v>
      </c>
      <c r="S314" s="114" t="n">
        <v>1.1</v>
      </c>
      <c r="T314" s="114" t="n">
        <v>0.55</v>
      </c>
      <c r="U314" s="114" t="n">
        <v>1.25</v>
      </c>
      <c r="V314" s="114" t="n">
        <v>0</v>
      </c>
      <c r="W314" s="114" t="s">
        <v>58</v>
      </c>
      <c r="X314" s="114" t="s">
        <v>58</v>
      </c>
      <c r="Y314" s="114" t="s">
        <v>58</v>
      </c>
      <c r="Z314" s="114" t="s">
        <v>58</v>
      </c>
      <c r="AA314" s="0" t="s">
        <v>1612</v>
      </c>
      <c r="AB314" s="0" t="s">
        <v>1613</v>
      </c>
      <c r="AC314" s="0" t="s">
        <v>58</v>
      </c>
      <c r="AD314" s="0" t="s">
        <v>58</v>
      </c>
      <c r="AE314" s="0" t="s">
        <v>1614</v>
      </c>
      <c r="AF314" s="0" t="s">
        <v>1615</v>
      </c>
      <c r="AG314" s="0" t="s">
        <v>58</v>
      </c>
      <c r="AH314" s="0" t="s">
        <v>58</v>
      </c>
    </row>
    <row r="315" customFormat="false" ht="15" hidden="false" customHeight="true" outlineLevel="0" collapsed="false">
      <c r="A315" s="0" t="n">
        <v>126</v>
      </c>
      <c r="B315" s="0" t="s">
        <v>1616</v>
      </c>
      <c r="C315" s="0" t="s">
        <v>471</v>
      </c>
      <c r="D315" s="0" t="s">
        <v>438</v>
      </c>
      <c r="E315" s="0" t="s">
        <v>1512</v>
      </c>
      <c r="F315" s="0" t="n">
        <v>3705</v>
      </c>
      <c r="G315" s="0" t="s">
        <v>140</v>
      </c>
      <c r="H315" s="0" t="n">
        <v>176</v>
      </c>
      <c r="I315" s="0" t="n">
        <v>226</v>
      </c>
      <c r="J315" s="0" t="n">
        <v>193</v>
      </c>
      <c r="K315" s="0" t="n">
        <v>72</v>
      </c>
      <c r="L315" s="0" t="n">
        <v>243</v>
      </c>
      <c r="M315" s="0" t="n">
        <v>0</v>
      </c>
      <c r="N315" s="0" t="n">
        <v>11</v>
      </c>
      <c r="O315" s="0" t="n">
        <v>0</v>
      </c>
      <c r="P315" s="0" t="n">
        <v>25</v>
      </c>
      <c r="Q315" s="114" t="n">
        <v>49</v>
      </c>
      <c r="R315" s="114" t="n">
        <v>125</v>
      </c>
      <c r="S315" s="114" t="n">
        <v>1.4</v>
      </c>
      <c r="T315" s="114" t="n">
        <v>1.65</v>
      </c>
      <c r="U315" s="114" t="n">
        <v>1</v>
      </c>
      <c r="V315" s="114" t="n">
        <v>0</v>
      </c>
      <c r="W315" s="0" t="s">
        <v>1617</v>
      </c>
      <c r="X315" s="114" t="s">
        <v>58</v>
      </c>
      <c r="Y315" s="114" t="s">
        <v>58</v>
      </c>
      <c r="Z315" s="114" t="s">
        <v>58</v>
      </c>
      <c r="AA315" s="0" t="s">
        <v>590</v>
      </c>
      <c r="AB315" s="0" t="s">
        <v>1618</v>
      </c>
      <c r="AC315" s="0" t="s">
        <v>1619</v>
      </c>
      <c r="AD315" s="0" t="s">
        <v>58</v>
      </c>
      <c r="AE315" s="0" t="s">
        <v>592</v>
      </c>
      <c r="AF315" s="0" t="s">
        <v>1620</v>
      </c>
      <c r="AG315" s="0" t="s">
        <v>464</v>
      </c>
      <c r="AH315" s="0" t="s">
        <v>58</v>
      </c>
    </row>
    <row r="316" customFormat="false" ht="15" hidden="false" customHeight="true" outlineLevel="0" collapsed="false">
      <c r="A316" s="0" t="n">
        <v>3126</v>
      </c>
      <c r="B316" s="0" t="s">
        <v>1621</v>
      </c>
      <c r="C316" s="0" t="s">
        <v>471</v>
      </c>
      <c r="D316" s="0" t="s">
        <v>430</v>
      </c>
      <c r="E316" s="0" t="s">
        <v>1512</v>
      </c>
      <c r="F316" s="0" t="n">
        <v>3945</v>
      </c>
      <c r="G316" s="0" t="s">
        <v>140</v>
      </c>
      <c r="H316" s="0" t="n">
        <v>191</v>
      </c>
      <c r="I316" s="0" t="n">
        <v>266</v>
      </c>
      <c r="J316" s="0" t="n">
        <v>193</v>
      </c>
      <c r="K316" s="0" t="n">
        <v>72</v>
      </c>
      <c r="L316" s="0" t="n">
        <v>258</v>
      </c>
      <c r="M316" s="0" t="n">
        <v>0</v>
      </c>
      <c r="N316" s="0" t="n">
        <v>11</v>
      </c>
      <c r="O316" s="0" t="n">
        <v>0</v>
      </c>
      <c r="P316" s="0" t="n">
        <v>25</v>
      </c>
      <c r="Q316" s="114" t="n">
        <v>49</v>
      </c>
      <c r="R316" s="114" t="n">
        <v>150</v>
      </c>
      <c r="S316" s="114" t="n">
        <v>1.45</v>
      </c>
      <c r="T316" s="114" t="n">
        <v>1.65</v>
      </c>
      <c r="U316" s="114" t="n">
        <v>1.15</v>
      </c>
      <c r="V316" s="114" t="n">
        <v>0</v>
      </c>
      <c r="W316" s="0" t="s">
        <v>1617</v>
      </c>
      <c r="X316" s="114" t="s">
        <v>58</v>
      </c>
      <c r="Y316" s="114" t="s">
        <v>58</v>
      </c>
      <c r="Z316" s="114" t="s">
        <v>58</v>
      </c>
      <c r="AA316" s="0" t="s">
        <v>590</v>
      </c>
      <c r="AB316" s="0" t="s">
        <v>1618</v>
      </c>
      <c r="AC316" s="0" t="s">
        <v>1622</v>
      </c>
      <c r="AD316" s="0" t="s">
        <v>1619</v>
      </c>
      <c r="AE316" s="0" t="s">
        <v>592</v>
      </c>
      <c r="AF316" s="0" t="s">
        <v>1620</v>
      </c>
      <c r="AG316" s="0" t="s">
        <v>1132</v>
      </c>
      <c r="AH316" s="0" t="s">
        <v>464</v>
      </c>
    </row>
    <row r="317" customFormat="false" ht="15" hidden="false" customHeight="true" outlineLevel="0" collapsed="false">
      <c r="A317" s="0" t="n">
        <v>190</v>
      </c>
      <c r="B317" s="0" t="s">
        <v>1623</v>
      </c>
      <c r="C317" s="0" t="s">
        <v>429</v>
      </c>
      <c r="D317" s="0" t="s">
        <v>527</v>
      </c>
      <c r="E317" s="0" t="s">
        <v>1512</v>
      </c>
      <c r="F317" s="0" t="n">
        <v>3439</v>
      </c>
      <c r="G317" s="0" t="s">
        <v>140</v>
      </c>
      <c r="H317" s="0" t="n">
        <v>163</v>
      </c>
      <c r="I317" s="0" t="n">
        <v>215</v>
      </c>
      <c r="J317" s="0" t="n">
        <v>190</v>
      </c>
      <c r="K317" s="0" t="n">
        <v>75</v>
      </c>
      <c r="L317" s="0" t="n">
        <v>161</v>
      </c>
      <c r="M317" s="0" t="n">
        <v>0</v>
      </c>
      <c r="N317" s="0" t="n">
        <v>9</v>
      </c>
      <c r="O317" s="0" t="n">
        <v>0</v>
      </c>
      <c r="P317" s="0" t="n">
        <v>31</v>
      </c>
      <c r="Q317" s="114" t="n">
        <v>34</v>
      </c>
      <c r="R317" s="114" t="n">
        <v>111</v>
      </c>
      <c r="S317" s="114" t="n">
        <v>1.25</v>
      </c>
      <c r="T317" s="114" t="n">
        <v>1.7</v>
      </c>
      <c r="U317" s="114" t="n">
        <v>1</v>
      </c>
      <c r="V317" s="114" t="n">
        <v>0</v>
      </c>
      <c r="W317" s="0" t="s">
        <v>1624</v>
      </c>
      <c r="X317" s="114" t="s">
        <v>58</v>
      </c>
      <c r="Y317" s="114" t="s">
        <v>58</v>
      </c>
      <c r="Z317" s="114" t="s">
        <v>58</v>
      </c>
      <c r="AA317" s="0" t="s">
        <v>590</v>
      </c>
      <c r="AB317" s="0" t="s">
        <v>1625</v>
      </c>
      <c r="AC317" s="0" t="s">
        <v>58</v>
      </c>
      <c r="AD317" s="0" t="s">
        <v>58</v>
      </c>
      <c r="AE317" s="0" t="s">
        <v>592</v>
      </c>
      <c r="AF317" s="0" t="s">
        <v>464</v>
      </c>
      <c r="AG317" s="0" t="s">
        <v>58</v>
      </c>
      <c r="AH317" s="0" t="s">
        <v>58</v>
      </c>
    </row>
    <row r="318" customFormat="false" ht="15" hidden="false" customHeight="true" outlineLevel="0" collapsed="false">
      <c r="A318" s="0" t="n">
        <v>3190</v>
      </c>
      <c r="B318" s="0" t="s">
        <v>1626</v>
      </c>
      <c r="C318" s="0" t="s">
        <v>429</v>
      </c>
      <c r="D318" s="0" t="s">
        <v>472</v>
      </c>
      <c r="E318" s="0" t="s">
        <v>1512</v>
      </c>
      <c r="F318" s="0" t="n">
        <v>3719</v>
      </c>
      <c r="G318" s="0" t="s">
        <v>140</v>
      </c>
      <c r="H318" s="0" t="n">
        <v>168</v>
      </c>
      <c r="I318" s="0" t="n">
        <v>245</v>
      </c>
      <c r="J318" s="0" t="n">
        <v>235</v>
      </c>
      <c r="K318" s="0" t="n">
        <v>75</v>
      </c>
      <c r="L318" s="0" t="n">
        <v>176</v>
      </c>
      <c r="M318" s="0" t="n">
        <v>0</v>
      </c>
      <c r="N318" s="0" t="n">
        <v>9</v>
      </c>
      <c r="O318" s="0" t="n">
        <v>0</v>
      </c>
      <c r="P318" s="0" t="n">
        <v>31</v>
      </c>
      <c r="Q318" s="114" t="n">
        <v>34</v>
      </c>
      <c r="R318" s="114" t="n">
        <v>111</v>
      </c>
      <c r="S318" s="114" t="n">
        <v>1.3</v>
      </c>
      <c r="T318" s="114" t="n">
        <v>1.8</v>
      </c>
      <c r="U318" s="114" t="n">
        <v>1.05</v>
      </c>
      <c r="V318" s="114" t="n">
        <v>0</v>
      </c>
      <c r="W318" s="0" t="s">
        <v>1624</v>
      </c>
      <c r="X318" s="114" t="s">
        <v>58</v>
      </c>
      <c r="Y318" s="114" t="s">
        <v>58</v>
      </c>
      <c r="Z318" s="114" t="s">
        <v>58</v>
      </c>
      <c r="AA318" s="0" t="s">
        <v>590</v>
      </c>
      <c r="AB318" s="0" t="s">
        <v>518</v>
      </c>
      <c r="AC318" s="0" t="s">
        <v>1625</v>
      </c>
      <c r="AD318" s="0" t="s">
        <v>58</v>
      </c>
      <c r="AE318" s="0" t="s">
        <v>592</v>
      </c>
      <c r="AF318" s="0" t="s">
        <v>520</v>
      </c>
      <c r="AG318" s="0" t="s">
        <v>464</v>
      </c>
      <c r="AH318" s="0" t="s">
        <v>58</v>
      </c>
    </row>
    <row r="319" customFormat="false" ht="15" hidden="false" customHeight="true" outlineLevel="0" collapsed="false">
      <c r="A319" s="0" t="n">
        <v>43</v>
      </c>
      <c r="B319" s="0" t="s">
        <v>1627</v>
      </c>
      <c r="C319" s="0" t="s">
        <v>437</v>
      </c>
      <c r="D319" s="0" t="s">
        <v>438</v>
      </c>
      <c r="E319" s="0" t="s">
        <v>1512</v>
      </c>
      <c r="F319" s="0" t="n">
        <v>3445</v>
      </c>
      <c r="G319" s="0" t="s">
        <v>138</v>
      </c>
      <c r="H319" s="0" t="n">
        <v>171</v>
      </c>
      <c r="I319" s="0" t="n">
        <v>246</v>
      </c>
      <c r="J319" s="0" t="n">
        <v>0</v>
      </c>
      <c r="K319" s="0" t="n">
        <v>53</v>
      </c>
      <c r="L319" s="0" t="n">
        <v>210</v>
      </c>
      <c r="M319" s="0" t="n">
        <v>0</v>
      </c>
      <c r="N319" s="0" t="n">
        <v>11</v>
      </c>
      <c r="O319" s="0" t="n">
        <v>0</v>
      </c>
      <c r="P319" s="0" t="n">
        <v>26</v>
      </c>
      <c r="Q319" s="114" t="n">
        <v>49</v>
      </c>
      <c r="R319" s="114" t="n">
        <v>121</v>
      </c>
      <c r="S319" s="114" t="n">
        <v>1.2</v>
      </c>
      <c r="T319" s="114" t="n">
        <v>0.55</v>
      </c>
      <c r="U319" s="114" t="n">
        <v>1.05</v>
      </c>
      <c r="V319" s="114" t="n">
        <v>0</v>
      </c>
      <c r="W319" s="0" t="s">
        <v>1588</v>
      </c>
      <c r="X319" s="114" t="s">
        <v>58</v>
      </c>
      <c r="Y319" s="114" t="s">
        <v>58</v>
      </c>
      <c r="Z319" s="114" t="s">
        <v>58</v>
      </c>
      <c r="AA319" s="0" t="s">
        <v>1628</v>
      </c>
      <c r="AB319" s="0" t="s">
        <v>1629</v>
      </c>
      <c r="AC319" s="0" t="s">
        <v>58</v>
      </c>
      <c r="AD319" s="0" t="s">
        <v>58</v>
      </c>
      <c r="AE319" s="0" t="s">
        <v>1630</v>
      </c>
      <c r="AF319" s="0" t="s">
        <v>464</v>
      </c>
      <c r="AG319" s="0" t="s">
        <v>58</v>
      </c>
      <c r="AH319" s="0" t="s">
        <v>58</v>
      </c>
    </row>
    <row r="320" customFormat="false" ht="15" hidden="false" customHeight="true" outlineLevel="0" collapsed="false">
      <c r="A320" s="0" t="s">
        <v>1631</v>
      </c>
      <c r="B320" s="0" t="s">
        <v>1632</v>
      </c>
      <c r="C320" s="0" t="s">
        <v>429</v>
      </c>
      <c r="D320" s="0" t="s">
        <v>1344</v>
      </c>
      <c r="E320" s="0" t="s">
        <v>1512</v>
      </c>
      <c r="F320" s="0" t="n">
        <v>4793</v>
      </c>
      <c r="G320" s="0" t="s">
        <v>140</v>
      </c>
      <c r="H320" s="0" t="n">
        <v>187</v>
      </c>
      <c r="I320" s="0" t="n">
        <v>270</v>
      </c>
      <c r="J320" s="0" t="n">
        <v>289</v>
      </c>
      <c r="K320" s="0" t="n">
        <v>86</v>
      </c>
      <c r="L320" s="0" t="n">
        <v>194</v>
      </c>
      <c r="M320" s="0" t="n">
        <v>0</v>
      </c>
      <c r="N320" s="0" t="n">
        <v>13</v>
      </c>
      <c r="O320" s="0" t="n">
        <v>0</v>
      </c>
      <c r="P320" s="0" t="n">
        <v>28</v>
      </c>
      <c r="Q320" s="114" t="n">
        <v>0</v>
      </c>
      <c r="R320" s="114" t="n">
        <v>136</v>
      </c>
      <c r="S320" s="114" t="n">
        <v>1.4</v>
      </c>
      <c r="T320" s="114" t="n">
        <v>1.85</v>
      </c>
      <c r="U320" s="114" t="n">
        <v>1.1</v>
      </c>
      <c r="V320" s="114" t="n">
        <v>0</v>
      </c>
      <c r="W320" s="0" t="s">
        <v>1633</v>
      </c>
      <c r="X320" s="0" t="s">
        <v>1634</v>
      </c>
      <c r="Y320" s="114" t="s">
        <v>58</v>
      </c>
      <c r="Z320" s="114" t="s">
        <v>58</v>
      </c>
      <c r="AA320" s="0" t="s">
        <v>1635</v>
      </c>
      <c r="AB320" s="0" t="s">
        <v>1636</v>
      </c>
      <c r="AC320" s="0" t="s">
        <v>818</v>
      </c>
      <c r="AD320" s="0" t="s">
        <v>1637</v>
      </c>
      <c r="AE320" s="0" t="s">
        <v>1638</v>
      </c>
      <c r="AF320" s="0" t="s">
        <v>1639</v>
      </c>
      <c r="AG320" s="0" t="s">
        <v>822</v>
      </c>
      <c r="AH320" s="0" t="s">
        <v>464</v>
      </c>
    </row>
    <row r="321" customFormat="false" ht="15" hidden="false" customHeight="true" outlineLevel="0" collapsed="false">
      <c r="A321" s="0" t="n">
        <v>45</v>
      </c>
      <c r="B321" s="0" t="s">
        <v>1640</v>
      </c>
      <c r="C321" s="0" t="s">
        <v>437</v>
      </c>
      <c r="D321" s="0" t="s">
        <v>438</v>
      </c>
      <c r="E321" s="0" t="s">
        <v>1512</v>
      </c>
      <c r="F321" s="0" t="n">
        <v>4734</v>
      </c>
      <c r="G321" s="0" t="s">
        <v>140</v>
      </c>
      <c r="H321" s="0" t="n">
        <v>174</v>
      </c>
      <c r="I321" s="0" t="n">
        <v>210</v>
      </c>
      <c r="J321" s="0" t="n">
        <v>0</v>
      </c>
      <c r="K321" s="0" t="n">
        <v>58</v>
      </c>
      <c r="L321" s="0" t="n">
        <v>252</v>
      </c>
      <c r="M321" s="0" t="n">
        <v>0</v>
      </c>
      <c r="N321" s="0" t="n">
        <v>11</v>
      </c>
      <c r="O321" s="0" t="n">
        <v>0</v>
      </c>
      <c r="P321" s="0" t="n">
        <v>26</v>
      </c>
      <c r="Q321" s="114" t="n">
        <v>23</v>
      </c>
      <c r="R321" s="114" t="n">
        <v>125</v>
      </c>
      <c r="S321" s="114" t="n">
        <v>1.1</v>
      </c>
      <c r="T321" s="114" t="n">
        <v>0.6</v>
      </c>
      <c r="U321" s="114" t="n">
        <v>1.3</v>
      </c>
      <c r="V321" s="114" t="n">
        <v>0</v>
      </c>
      <c r="W321" s="0" t="s">
        <v>1641</v>
      </c>
      <c r="X321" s="114" t="s">
        <v>58</v>
      </c>
      <c r="Y321" s="114" t="s">
        <v>58</v>
      </c>
      <c r="Z321" s="114" t="s">
        <v>58</v>
      </c>
      <c r="AA321" s="0" t="s">
        <v>1642</v>
      </c>
      <c r="AB321" s="0" t="s">
        <v>1643</v>
      </c>
      <c r="AC321" s="0" t="s">
        <v>1644</v>
      </c>
      <c r="AD321" s="0" t="s">
        <v>58</v>
      </c>
      <c r="AE321" s="0" t="s">
        <v>1645</v>
      </c>
      <c r="AF321" s="0" t="s">
        <v>1524</v>
      </c>
      <c r="AG321" s="0" t="s">
        <v>464</v>
      </c>
      <c r="AH321" s="0" t="s">
        <v>58</v>
      </c>
    </row>
    <row r="322" customFormat="false" ht="15" hidden="false" customHeight="true" outlineLevel="0" collapsed="false">
      <c r="A322" s="0" t="n">
        <v>191</v>
      </c>
      <c r="B322" s="0" t="s">
        <v>1646</v>
      </c>
      <c r="C322" s="0" t="s">
        <v>429</v>
      </c>
      <c r="D322" s="0" t="s">
        <v>527</v>
      </c>
      <c r="E322" s="0" t="s">
        <v>1512</v>
      </c>
      <c r="F322" s="0" t="n">
        <v>3439</v>
      </c>
      <c r="G322" s="0" t="s">
        <v>140</v>
      </c>
      <c r="H322" s="0" t="n">
        <v>163</v>
      </c>
      <c r="I322" s="0" t="n">
        <v>215</v>
      </c>
      <c r="J322" s="0" t="n">
        <v>190</v>
      </c>
      <c r="K322" s="0" t="n">
        <v>75</v>
      </c>
      <c r="L322" s="0" t="n">
        <v>161</v>
      </c>
      <c r="M322" s="0" t="n">
        <v>0</v>
      </c>
      <c r="N322" s="0" t="n">
        <v>9</v>
      </c>
      <c r="O322" s="0" t="n">
        <v>0</v>
      </c>
      <c r="P322" s="0" t="n">
        <v>31</v>
      </c>
      <c r="Q322" s="114" t="n">
        <v>34</v>
      </c>
      <c r="R322" s="114" t="n">
        <v>111</v>
      </c>
      <c r="S322" s="114" t="n">
        <v>1.25</v>
      </c>
      <c r="T322" s="114" t="n">
        <v>1.7</v>
      </c>
      <c r="U322" s="114" t="n">
        <v>1</v>
      </c>
      <c r="V322" s="114" t="n">
        <v>0</v>
      </c>
      <c r="W322" s="0" t="s">
        <v>1624</v>
      </c>
      <c r="X322" s="114" t="s">
        <v>58</v>
      </c>
      <c r="Y322" s="114" t="s">
        <v>58</v>
      </c>
      <c r="Z322" s="114" t="s">
        <v>58</v>
      </c>
      <c r="AA322" s="0" t="s">
        <v>590</v>
      </c>
      <c r="AB322" s="0" t="s">
        <v>1625</v>
      </c>
      <c r="AC322" s="0" t="s">
        <v>58</v>
      </c>
      <c r="AD322" s="0" t="s">
        <v>58</v>
      </c>
      <c r="AE322" s="0" t="s">
        <v>592</v>
      </c>
      <c r="AF322" s="0" t="s">
        <v>464</v>
      </c>
      <c r="AG322" s="0" t="s">
        <v>58</v>
      </c>
      <c r="AH322" s="0" t="s">
        <v>58</v>
      </c>
    </row>
    <row r="323" customFormat="false" ht="15" hidden="false" customHeight="true" outlineLevel="0" collapsed="false">
      <c r="A323" s="0" t="n">
        <v>3191</v>
      </c>
      <c r="B323" s="0" t="s">
        <v>1647</v>
      </c>
      <c r="C323" s="0" t="s">
        <v>429</v>
      </c>
      <c r="D323" s="0" t="s">
        <v>472</v>
      </c>
      <c r="E323" s="0" t="s">
        <v>1512</v>
      </c>
      <c r="F323" s="0" t="n">
        <v>3719</v>
      </c>
      <c r="G323" s="0" t="s">
        <v>140</v>
      </c>
      <c r="H323" s="0" t="n">
        <v>168</v>
      </c>
      <c r="I323" s="0" t="n">
        <v>245</v>
      </c>
      <c r="J323" s="0" t="n">
        <v>235</v>
      </c>
      <c r="K323" s="0" t="n">
        <v>75</v>
      </c>
      <c r="L323" s="0" t="n">
        <v>176</v>
      </c>
      <c r="M323" s="0" t="n">
        <v>0</v>
      </c>
      <c r="N323" s="0" t="n">
        <v>9</v>
      </c>
      <c r="O323" s="0" t="n">
        <v>0</v>
      </c>
      <c r="P323" s="0" t="n">
        <v>31</v>
      </c>
      <c r="Q323" s="114" t="n">
        <v>34</v>
      </c>
      <c r="R323" s="114" t="n">
        <v>111</v>
      </c>
      <c r="S323" s="114" t="n">
        <v>1.3</v>
      </c>
      <c r="T323" s="114" t="n">
        <v>1.8</v>
      </c>
      <c r="U323" s="114" t="n">
        <v>1.05</v>
      </c>
      <c r="V323" s="114" t="n">
        <v>0</v>
      </c>
      <c r="W323" s="0" t="s">
        <v>1624</v>
      </c>
      <c r="X323" s="114" t="s">
        <v>58</v>
      </c>
      <c r="Y323" s="114" t="s">
        <v>58</v>
      </c>
      <c r="Z323" s="114" t="s">
        <v>58</v>
      </c>
      <c r="AA323" s="0" t="s">
        <v>590</v>
      </c>
      <c r="AB323" s="0" t="s">
        <v>518</v>
      </c>
      <c r="AC323" s="0" t="s">
        <v>1625</v>
      </c>
      <c r="AD323" s="0" t="s">
        <v>58</v>
      </c>
      <c r="AE323" s="0" t="s">
        <v>592</v>
      </c>
      <c r="AF323" s="0" t="s">
        <v>520</v>
      </c>
      <c r="AG323" s="0" t="s">
        <v>464</v>
      </c>
      <c r="AH323" s="0" t="s">
        <v>58</v>
      </c>
    </row>
    <row r="324" customFormat="false" ht="15" hidden="false" customHeight="true" outlineLevel="0" collapsed="false">
      <c r="A324" s="0" t="n">
        <v>121</v>
      </c>
      <c r="B324" s="0" t="s">
        <v>1648</v>
      </c>
      <c r="C324" s="0" t="s">
        <v>471</v>
      </c>
      <c r="D324" s="0" t="s">
        <v>472</v>
      </c>
      <c r="E324" s="0" t="s">
        <v>1512</v>
      </c>
      <c r="F324" s="0" t="n">
        <v>3508</v>
      </c>
      <c r="G324" s="0" t="s">
        <v>138</v>
      </c>
      <c r="H324" s="0" t="n">
        <v>160</v>
      </c>
      <c r="I324" s="0" t="n">
        <v>218</v>
      </c>
      <c r="J324" s="0" t="n">
        <v>215</v>
      </c>
      <c r="K324" s="0" t="n">
        <v>65</v>
      </c>
      <c r="L324" s="0" t="n">
        <v>208</v>
      </c>
      <c r="M324" s="0" t="n">
        <v>0</v>
      </c>
      <c r="N324" s="0" t="n">
        <v>10</v>
      </c>
      <c r="O324" s="0" t="n">
        <v>0</v>
      </c>
      <c r="P324" s="0" t="n">
        <v>25</v>
      </c>
      <c r="Q324" s="114" t="n">
        <v>71</v>
      </c>
      <c r="R324" s="114" t="n">
        <v>116</v>
      </c>
      <c r="S324" s="114" t="n">
        <v>1.45</v>
      </c>
      <c r="T324" s="114" t="n">
        <v>1.6</v>
      </c>
      <c r="U324" s="114" t="n">
        <v>1</v>
      </c>
      <c r="V324" s="114" t="n">
        <v>0</v>
      </c>
      <c r="W324" s="0" t="s">
        <v>1649</v>
      </c>
      <c r="X324" s="114" t="s">
        <v>58</v>
      </c>
      <c r="Y324" s="114" t="s">
        <v>58</v>
      </c>
      <c r="Z324" s="114" t="s">
        <v>58</v>
      </c>
      <c r="AA324" s="0" t="s">
        <v>1201</v>
      </c>
      <c r="AB324" s="0" t="s">
        <v>1650</v>
      </c>
      <c r="AC324" s="0" t="s">
        <v>58</v>
      </c>
      <c r="AD324" s="0" t="s">
        <v>58</v>
      </c>
      <c r="AE324" s="0" t="s">
        <v>1203</v>
      </c>
      <c r="AF324" s="0" t="s">
        <v>464</v>
      </c>
      <c r="AG324" s="0" t="s">
        <v>58</v>
      </c>
      <c r="AH324" s="0" t="s">
        <v>58</v>
      </c>
    </row>
    <row r="325" customFormat="false" ht="15" hidden="false" customHeight="true" outlineLevel="0" collapsed="false">
      <c r="A325" s="0" t="n">
        <v>193</v>
      </c>
      <c r="B325" s="0" t="s">
        <v>1651</v>
      </c>
      <c r="C325" s="0" t="s">
        <v>429</v>
      </c>
      <c r="D325" s="0" t="s">
        <v>527</v>
      </c>
      <c r="E325" s="0" t="s">
        <v>1512</v>
      </c>
      <c r="F325" s="0" t="n">
        <v>3527</v>
      </c>
      <c r="G325" s="0" t="s">
        <v>140</v>
      </c>
      <c r="H325" s="0" t="n">
        <v>163</v>
      </c>
      <c r="I325" s="0" t="n">
        <v>215</v>
      </c>
      <c r="J325" s="0" t="n">
        <v>190</v>
      </c>
      <c r="K325" s="0" t="n">
        <v>76</v>
      </c>
      <c r="L325" s="0" t="n">
        <v>167</v>
      </c>
      <c r="M325" s="0" t="n">
        <v>0</v>
      </c>
      <c r="N325" s="0" t="n">
        <v>9</v>
      </c>
      <c r="O325" s="0" t="n">
        <v>0</v>
      </c>
      <c r="P325" s="0" t="n">
        <v>32</v>
      </c>
      <c r="Q325" s="114" t="n">
        <v>65</v>
      </c>
      <c r="R325" s="114" t="n">
        <v>111</v>
      </c>
      <c r="S325" s="114" t="n">
        <v>1.3</v>
      </c>
      <c r="T325" s="114" t="n">
        <v>1.65</v>
      </c>
      <c r="U325" s="114" t="n">
        <v>1</v>
      </c>
      <c r="V325" s="114" t="n">
        <v>0</v>
      </c>
      <c r="W325" s="0" t="s">
        <v>1536</v>
      </c>
      <c r="X325" s="114" t="s">
        <v>58</v>
      </c>
      <c r="Y325" s="114" t="s">
        <v>58</v>
      </c>
      <c r="Z325" s="114" t="s">
        <v>58</v>
      </c>
      <c r="AA325" s="0" t="s">
        <v>590</v>
      </c>
      <c r="AB325" s="0" t="s">
        <v>1652</v>
      </c>
      <c r="AC325" s="0" t="s">
        <v>58</v>
      </c>
      <c r="AD325" s="0" t="s">
        <v>58</v>
      </c>
      <c r="AE325" s="0" t="s">
        <v>592</v>
      </c>
      <c r="AF325" s="0" t="s">
        <v>464</v>
      </c>
      <c r="AG325" s="0" t="s">
        <v>58</v>
      </c>
      <c r="AH325" s="0" t="s">
        <v>58</v>
      </c>
    </row>
    <row r="326" customFormat="false" ht="15" hidden="false" customHeight="true" outlineLevel="0" collapsed="false">
      <c r="A326" s="0" t="n">
        <v>469</v>
      </c>
      <c r="B326" s="0" t="s">
        <v>1653</v>
      </c>
      <c r="C326" s="0" t="s">
        <v>429</v>
      </c>
      <c r="D326" s="0" t="s">
        <v>438</v>
      </c>
      <c r="E326" s="0" t="s">
        <v>394</v>
      </c>
      <c r="F326" s="0" t="n">
        <v>4141</v>
      </c>
      <c r="G326" s="0" t="s">
        <v>140</v>
      </c>
      <c r="H326" s="0" t="n">
        <v>185</v>
      </c>
      <c r="I326" s="0" t="n">
        <v>237</v>
      </c>
      <c r="J326" s="0" t="n">
        <v>212</v>
      </c>
      <c r="K326" s="0" t="n">
        <v>82</v>
      </c>
      <c r="L326" s="0" t="n">
        <v>215</v>
      </c>
      <c r="M326" s="0" t="n">
        <v>0</v>
      </c>
      <c r="N326" s="0" t="n">
        <v>11</v>
      </c>
      <c r="O326" s="0" t="n">
        <v>0</v>
      </c>
      <c r="P326" s="0" t="n">
        <v>27</v>
      </c>
      <c r="Q326" s="0" t="n">
        <v>10</v>
      </c>
      <c r="R326" s="0" t="n">
        <v>129</v>
      </c>
      <c r="S326" s="114" t="n">
        <v>1.35</v>
      </c>
      <c r="T326" s="114" t="n">
        <v>1.45</v>
      </c>
      <c r="U326" s="114" t="n">
        <v>1.1</v>
      </c>
      <c r="V326" s="114" t="n">
        <v>0</v>
      </c>
      <c r="W326" s="114" t="s">
        <v>1654</v>
      </c>
      <c r="X326" s="114" t="s">
        <v>1655</v>
      </c>
      <c r="Y326" s="114" t="s">
        <v>1656</v>
      </c>
      <c r="Z326" s="114" t="s">
        <v>58</v>
      </c>
      <c r="AA326" s="114" t="s">
        <v>1657</v>
      </c>
      <c r="AB326" s="114" t="s">
        <v>1354</v>
      </c>
      <c r="AC326" s="114" t="s">
        <v>1658</v>
      </c>
      <c r="AD326" s="0" t="s">
        <v>58</v>
      </c>
      <c r="AE326" s="114" t="s">
        <v>1659</v>
      </c>
      <c r="AF326" s="114" t="s">
        <v>1356</v>
      </c>
      <c r="AG326" s="0" t="s">
        <v>464</v>
      </c>
      <c r="AH326" s="0" t="s">
        <v>58</v>
      </c>
    </row>
    <row r="327" customFormat="false" ht="15" hidden="false" customHeight="true" outlineLevel="0" collapsed="false">
      <c r="A327" s="0" t="s">
        <v>1660</v>
      </c>
      <c r="B327" s="0" t="s">
        <v>1661</v>
      </c>
      <c r="C327" s="0" t="s">
        <v>934</v>
      </c>
      <c r="D327" s="0" t="s">
        <v>430</v>
      </c>
      <c r="E327" s="0" t="s">
        <v>1512</v>
      </c>
      <c r="F327" s="0" t="n">
        <v>4138</v>
      </c>
      <c r="G327" s="0" t="s">
        <v>140</v>
      </c>
      <c r="H327" s="0" t="n">
        <v>161</v>
      </c>
      <c r="I327" s="0" t="n">
        <v>237</v>
      </c>
      <c r="J327" s="0" t="n">
        <v>198</v>
      </c>
      <c r="K327" s="0" t="n">
        <v>54</v>
      </c>
      <c r="L327" s="0" t="n">
        <v>175</v>
      </c>
      <c r="M327" s="0" t="n">
        <v>0</v>
      </c>
      <c r="N327" s="0" t="n">
        <v>12</v>
      </c>
      <c r="O327" s="0" t="n">
        <v>0</v>
      </c>
      <c r="P327" s="0" t="n">
        <v>28</v>
      </c>
      <c r="Q327" s="114" t="n">
        <v>90</v>
      </c>
      <c r="R327" s="114" t="n">
        <v>131</v>
      </c>
      <c r="S327" s="114" t="n">
        <v>1.1</v>
      </c>
      <c r="T327" s="114" t="n">
        <v>1.05</v>
      </c>
      <c r="U327" s="114" t="n">
        <v>0.75</v>
      </c>
      <c r="V327" s="114" t="n">
        <v>0</v>
      </c>
      <c r="W327" s="0" t="s">
        <v>1662</v>
      </c>
      <c r="X327" s="114" t="s">
        <v>58</v>
      </c>
      <c r="Y327" s="114" t="s">
        <v>58</v>
      </c>
      <c r="Z327" s="114" t="s">
        <v>58</v>
      </c>
      <c r="AA327" s="0" t="s">
        <v>1663</v>
      </c>
      <c r="AB327" s="0" t="s">
        <v>1664</v>
      </c>
      <c r="AC327" s="0" t="s">
        <v>58</v>
      </c>
      <c r="AD327" s="0" t="s">
        <v>58</v>
      </c>
      <c r="AE327" s="0" t="s">
        <v>1665</v>
      </c>
      <c r="AF327" s="0" t="s">
        <v>1662</v>
      </c>
      <c r="AG327" s="0" t="s">
        <v>58</v>
      </c>
      <c r="AH327" s="0" t="s">
        <v>58</v>
      </c>
    </row>
    <row r="328" customFormat="false" ht="15" hidden="false" customHeight="true" outlineLevel="0" collapsed="false">
      <c r="A328" s="0" t="n">
        <v>119</v>
      </c>
      <c r="B328" s="0" t="s">
        <v>1666</v>
      </c>
      <c r="C328" s="0" t="s">
        <v>471</v>
      </c>
      <c r="D328" s="0" t="s">
        <v>438</v>
      </c>
      <c r="E328" s="0" t="s">
        <v>1512</v>
      </c>
      <c r="F328" s="0" t="n">
        <v>3561</v>
      </c>
      <c r="G328" s="0" t="s">
        <v>138</v>
      </c>
      <c r="H328" s="0" t="n">
        <v>165</v>
      </c>
      <c r="I328" s="0" t="n">
        <v>223</v>
      </c>
      <c r="J328" s="0" t="n">
        <v>223</v>
      </c>
      <c r="K328" s="0" t="n">
        <v>67</v>
      </c>
      <c r="L328" s="0" t="n">
        <v>212</v>
      </c>
      <c r="M328" s="0" t="n">
        <v>0</v>
      </c>
      <c r="N328" s="0" t="n">
        <v>11</v>
      </c>
      <c r="O328" s="0" t="n">
        <v>0</v>
      </c>
      <c r="P328" s="0" t="n">
        <v>25</v>
      </c>
      <c r="Q328" s="114" t="n">
        <v>62</v>
      </c>
      <c r="R328" s="114" t="n">
        <v>116</v>
      </c>
      <c r="S328" s="114" t="n">
        <v>1.45</v>
      </c>
      <c r="T328" s="114" t="n">
        <v>1.6</v>
      </c>
      <c r="U328" s="114" t="n">
        <v>1</v>
      </c>
      <c r="V328" s="114" t="n">
        <v>0</v>
      </c>
      <c r="W328" s="0" t="s">
        <v>1667</v>
      </c>
      <c r="X328" s="114" t="s">
        <v>58</v>
      </c>
      <c r="Y328" s="114" t="s">
        <v>58</v>
      </c>
      <c r="Z328" s="114" t="s">
        <v>58</v>
      </c>
      <c r="AA328" s="0" t="s">
        <v>1382</v>
      </c>
      <c r="AB328" s="0" t="s">
        <v>1668</v>
      </c>
      <c r="AC328" s="0" t="s">
        <v>58</v>
      </c>
      <c r="AD328" s="0" t="s">
        <v>58</v>
      </c>
      <c r="AE328" s="0" t="s">
        <v>1383</v>
      </c>
      <c r="AF328" s="0" t="s">
        <v>464</v>
      </c>
      <c r="AG328" s="0" t="s">
        <v>58</v>
      </c>
      <c r="AH328" s="0" t="s">
        <v>58</v>
      </c>
    </row>
    <row r="329" customFormat="false" ht="15" hidden="false" customHeight="true" outlineLevel="0" collapsed="false">
      <c r="A329" s="0" t="n">
        <v>3119</v>
      </c>
      <c r="B329" s="0" t="s">
        <v>1669</v>
      </c>
      <c r="C329" s="0" t="s">
        <v>471</v>
      </c>
      <c r="D329" s="0" t="s">
        <v>430</v>
      </c>
      <c r="E329" s="0" t="s">
        <v>394</v>
      </c>
      <c r="F329" s="0" t="n">
        <v>3841</v>
      </c>
      <c r="G329" s="0" t="s">
        <v>138</v>
      </c>
      <c r="H329" s="0" t="n">
        <v>165</v>
      </c>
      <c r="I329" s="0" t="n">
        <v>233</v>
      </c>
      <c r="J329" s="0" t="n">
        <v>223</v>
      </c>
      <c r="K329" s="0" t="n">
        <v>82</v>
      </c>
      <c r="L329" s="0" t="n">
        <v>297</v>
      </c>
      <c r="M329" s="0" t="n">
        <v>0</v>
      </c>
      <c r="N329" s="0" t="n">
        <v>11</v>
      </c>
      <c r="O329" s="0" t="n">
        <v>0</v>
      </c>
      <c r="P329" s="0" t="n">
        <v>25</v>
      </c>
      <c r="Q329" s="0" t="n">
        <v>62</v>
      </c>
      <c r="R329" s="0" t="n">
        <v>136</v>
      </c>
      <c r="S329" s="114" t="n">
        <v>1.5</v>
      </c>
      <c r="T329" s="114" t="n">
        <v>1.6</v>
      </c>
      <c r="U329" s="114" t="n">
        <v>1.15</v>
      </c>
      <c r="V329" s="114" t="n">
        <v>0</v>
      </c>
      <c r="W329" s="0" t="s">
        <v>1667</v>
      </c>
      <c r="X329" s="114" t="s">
        <v>58</v>
      </c>
      <c r="Y329" s="114" t="s">
        <v>58</v>
      </c>
      <c r="Z329" s="114" t="s">
        <v>58</v>
      </c>
      <c r="AA329" s="0" t="s">
        <v>1382</v>
      </c>
      <c r="AB329" s="0" t="s">
        <v>1670</v>
      </c>
      <c r="AC329" s="0" t="s">
        <v>1668</v>
      </c>
      <c r="AD329" s="0" t="s">
        <v>58</v>
      </c>
      <c r="AE329" s="0" t="s">
        <v>1383</v>
      </c>
      <c r="AF329" s="0" t="s">
        <v>1671</v>
      </c>
      <c r="AG329" s="0" t="s">
        <v>464</v>
      </c>
      <c r="AH329" s="0" t="s">
        <v>58</v>
      </c>
    </row>
    <row r="330" customFormat="false" ht="15" hidden="false" customHeight="true" outlineLevel="0" collapsed="false">
      <c r="A330" s="0" t="n">
        <v>202</v>
      </c>
      <c r="B330" s="0" t="s">
        <v>1672</v>
      </c>
      <c r="C330" s="0" t="s">
        <v>429</v>
      </c>
      <c r="D330" s="0" t="s">
        <v>430</v>
      </c>
      <c r="E330" s="0" t="s">
        <v>1512</v>
      </c>
      <c r="F330" s="0" t="n">
        <v>4295</v>
      </c>
      <c r="G330" s="0" t="s">
        <v>140</v>
      </c>
      <c r="H330" s="0" t="n">
        <v>175</v>
      </c>
      <c r="I330" s="0" t="n">
        <v>270</v>
      </c>
      <c r="J330" s="0" t="n">
        <v>245</v>
      </c>
      <c r="K330" s="0" t="n">
        <v>79</v>
      </c>
      <c r="L330" s="0" t="n">
        <v>178</v>
      </c>
      <c r="M330" s="0" t="n">
        <v>0</v>
      </c>
      <c r="N330" s="0" t="n">
        <v>12</v>
      </c>
      <c r="O330" s="0" t="n">
        <v>0</v>
      </c>
      <c r="P330" s="0" t="n">
        <v>31</v>
      </c>
      <c r="Q330" s="114" t="n">
        <v>48</v>
      </c>
      <c r="R330" s="114" t="n">
        <v>134</v>
      </c>
      <c r="S330" s="114" t="n">
        <v>1.25</v>
      </c>
      <c r="T330" s="114" t="n">
        <v>1.7</v>
      </c>
      <c r="U330" s="114" t="n">
        <v>1.2</v>
      </c>
      <c r="V330" s="114" t="n">
        <v>0</v>
      </c>
      <c r="W330" s="0" t="s">
        <v>1551</v>
      </c>
      <c r="X330" s="114" t="s">
        <v>58</v>
      </c>
      <c r="Y330" s="114" t="s">
        <v>58</v>
      </c>
      <c r="Z330" s="114" t="s">
        <v>58</v>
      </c>
      <c r="AA330" s="0" t="s">
        <v>1673</v>
      </c>
      <c r="AB330" s="0" t="s">
        <v>1595</v>
      </c>
      <c r="AC330" s="0" t="s">
        <v>58</v>
      </c>
      <c r="AD330" s="0" t="s">
        <v>58</v>
      </c>
      <c r="AE330" s="0" t="s">
        <v>1674</v>
      </c>
      <c r="AF330" s="0" t="s">
        <v>464</v>
      </c>
      <c r="AG330" s="0" t="s">
        <v>58</v>
      </c>
      <c r="AH330" s="0" t="s">
        <v>58</v>
      </c>
    </row>
    <row r="331" customFormat="false" ht="15" hidden="false" customHeight="true" outlineLevel="0" collapsed="false">
      <c r="A331" s="0" t="n">
        <v>364</v>
      </c>
      <c r="B331" s="0" t="s">
        <v>1675</v>
      </c>
      <c r="C331" s="0" t="s">
        <v>437</v>
      </c>
      <c r="D331" s="0" t="s">
        <v>430</v>
      </c>
      <c r="E331" s="0" t="s">
        <v>1512</v>
      </c>
      <c r="F331" s="0" t="n">
        <v>4152</v>
      </c>
      <c r="G331" s="0" t="s">
        <v>140</v>
      </c>
      <c r="H331" s="0" t="n">
        <v>182</v>
      </c>
      <c r="I331" s="0" t="n">
        <v>258</v>
      </c>
      <c r="J331" s="0" t="n">
        <v>0</v>
      </c>
      <c r="K331" s="0" t="n">
        <v>57</v>
      </c>
      <c r="L331" s="0" t="n">
        <v>248</v>
      </c>
      <c r="M331" s="0" t="n">
        <v>0</v>
      </c>
      <c r="N331" s="0" t="n">
        <v>12</v>
      </c>
      <c r="O331" s="0" t="n">
        <v>0</v>
      </c>
      <c r="P331" s="0" t="n">
        <v>26</v>
      </c>
      <c r="Q331" s="114" t="n">
        <v>76</v>
      </c>
      <c r="R331" s="114" t="n">
        <v>128</v>
      </c>
      <c r="S331" s="114" t="n">
        <v>1.25</v>
      </c>
      <c r="T331" s="114" t="n">
        <v>0.7</v>
      </c>
      <c r="U331" s="114" t="n">
        <v>1.25</v>
      </c>
      <c r="V331" s="114" t="n">
        <v>0</v>
      </c>
      <c r="W331" s="0" t="s">
        <v>1544</v>
      </c>
      <c r="X331" s="114" t="s">
        <v>58</v>
      </c>
      <c r="Y331" s="114" t="s">
        <v>58</v>
      </c>
      <c r="Z331" s="114" t="s">
        <v>58</v>
      </c>
      <c r="AA331" s="0" t="s">
        <v>1676</v>
      </c>
      <c r="AB331" s="0" t="s">
        <v>1677</v>
      </c>
      <c r="AC331" s="0" t="s">
        <v>1678</v>
      </c>
      <c r="AD331" s="0" t="s">
        <v>58</v>
      </c>
      <c r="AE331" s="0" t="s">
        <v>1679</v>
      </c>
      <c r="AF331" s="0" t="s">
        <v>1680</v>
      </c>
      <c r="AG331" s="0" t="s">
        <v>464</v>
      </c>
      <c r="AH331" s="0" t="s">
        <v>58</v>
      </c>
    </row>
    <row r="332" customFormat="false" ht="15" hidden="false" customHeight="true" outlineLevel="0" collapsed="false">
      <c r="A332" s="0" t="n">
        <v>3188</v>
      </c>
      <c r="B332" s="0" t="s">
        <v>1681</v>
      </c>
      <c r="C332" s="0" t="s">
        <v>429</v>
      </c>
      <c r="D332" s="0" t="s">
        <v>430</v>
      </c>
      <c r="E332" s="0" t="s">
        <v>394</v>
      </c>
      <c r="F332" s="0" t="n">
        <v>4623</v>
      </c>
      <c r="G332" s="0" t="s">
        <v>140</v>
      </c>
      <c r="H332" s="0" t="n">
        <v>188</v>
      </c>
      <c r="I332" s="0" t="n">
        <v>264</v>
      </c>
      <c r="J332" s="0" t="n">
        <v>202</v>
      </c>
      <c r="K332" s="0" t="n">
        <v>80</v>
      </c>
      <c r="L332" s="0" t="n">
        <v>233</v>
      </c>
      <c r="M332" s="0" t="n">
        <v>0</v>
      </c>
      <c r="N332" s="0" t="n">
        <v>11</v>
      </c>
      <c r="O332" s="0" t="n">
        <v>0</v>
      </c>
      <c r="P332" s="0" t="n">
        <v>28</v>
      </c>
      <c r="Q332" s="114" t="n">
        <v>14</v>
      </c>
      <c r="R332" s="114" t="n">
        <v>129</v>
      </c>
      <c r="S332" s="114" t="n">
        <v>1.25</v>
      </c>
      <c r="T332" s="114" t="n">
        <v>1.6</v>
      </c>
      <c r="U332" s="114" t="n">
        <v>1.05</v>
      </c>
      <c r="V332" s="114" t="n">
        <v>0</v>
      </c>
      <c r="W332" s="0" t="s">
        <v>1682</v>
      </c>
      <c r="X332" s="114" t="s">
        <v>58</v>
      </c>
      <c r="Y332" s="114" t="s">
        <v>58</v>
      </c>
      <c r="Z332" s="114" t="s">
        <v>58</v>
      </c>
      <c r="AA332" s="0" t="s">
        <v>590</v>
      </c>
      <c r="AB332" s="0" t="s">
        <v>1354</v>
      </c>
      <c r="AC332" s="0" t="s">
        <v>1683</v>
      </c>
      <c r="AD332" s="0" t="s">
        <v>1358</v>
      </c>
      <c r="AE332" s="0" t="s">
        <v>592</v>
      </c>
      <c r="AF332" s="0" t="s">
        <v>1356</v>
      </c>
      <c r="AG332" s="0" t="s">
        <v>1684</v>
      </c>
      <c r="AH332" s="0" t="s">
        <v>464</v>
      </c>
    </row>
    <row r="333" customFormat="false" ht="15" hidden="false" customHeight="true" outlineLevel="0" collapsed="false">
      <c r="A333" s="0" t="n">
        <v>196</v>
      </c>
      <c r="B333" s="0" t="s">
        <v>1685</v>
      </c>
      <c r="C333" s="0" t="s">
        <v>429</v>
      </c>
      <c r="D333" s="0" t="s">
        <v>472</v>
      </c>
      <c r="E333" s="0" t="s">
        <v>1512</v>
      </c>
      <c r="F333" s="0" t="n">
        <v>5220</v>
      </c>
      <c r="G333" s="0" t="s">
        <v>140</v>
      </c>
      <c r="H333" s="0" t="n">
        <v>163</v>
      </c>
      <c r="I333" s="0" t="n">
        <v>196</v>
      </c>
      <c r="J333" s="0" t="n">
        <v>150</v>
      </c>
      <c r="K333" s="0" t="n">
        <v>78</v>
      </c>
      <c r="L333" s="0" t="n">
        <v>193</v>
      </c>
      <c r="M333" s="0" t="n">
        <v>0</v>
      </c>
      <c r="N333" s="0" t="n">
        <v>10</v>
      </c>
      <c r="O333" s="0" t="n">
        <v>0</v>
      </c>
      <c r="P333" s="0" t="n">
        <v>32</v>
      </c>
      <c r="Q333" s="114" t="n">
        <v>62</v>
      </c>
      <c r="R333" s="114" t="n">
        <v>125</v>
      </c>
      <c r="S333" s="114" t="n">
        <v>1.3</v>
      </c>
      <c r="T333" s="114" t="n">
        <v>1.65</v>
      </c>
      <c r="U333" s="114" t="n">
        <v>1</v>
      </c>
      <c r="V333" s="114" t="n">
        <v>0</v>
      </c>
      <c r="W333" s="0" t="s">
        <v>1539</v>
      </c>
      <c r="X333" s="114" t="s">
        <v>58</v>
      </c>
      <c r="Y333" s="114" t="s">
        <v>58</v>
      </c>
      <c r="Z333" s="114" t="s">
        <v>58</v>
      </c>
      <c r="AA333" s="0" t="s">
        <v>1686</v>
      </c>
      <c r="AB333" s="0" t="s">
        <v>1541</v>
      </c>
      <c r="AC333" s="0" t="s">
        <v>58</v>
      </c>
      <c r="AD333" s="0" t="s">
        <v>58</v>
      </c>
      <c r="AE333" s="0" t="s">
        <v>1687</v>
      </c>
      <c r="AF333" s="0" t="s">
        <v>464</v>
      </c>
      <c r="AG333" s="0" t="s">
        <v>58</v>
      </c>
      <c r="AH333" s="0" t="s">
        <v>58</v>
      </c>
    </row>
    <row r="334" customFormat="false" ht="15" hidden="false" customHeight="true" outlineLevel="0" collapsed="false">
      <c r="A334" s="0" t="n">
        <v>197</v>
      </c>
      <c r="B334" s="0" t="s">
        <v>1688</v>
      </c>
      <c r="C334" s="0" t="s">
        <v>429</v>
      </c>
      <c r="D334" s="0" t="s">
        <v>472</v>
      </c>
      <c r="E334" s="0" t="s">
        <v>1512</v>
      </c>
      <c r="F334" s="0" t="n">
        <v>5220</v>
      </c>
      <c r="G334" s="0" t="s">
        <v>140</v>
      </c>
      <c r="H334" s="0" t="n">
        <v>163</v>
      </c>
      <c r="I334" s="0" t="n">
        <v>196</v>
      </c>
      <c r="J334" s="0" t="n">
        <v>150</v>
      </c>
      <c r="K334" s="0" t="n">
        <v>78</v>
      </c>
      <c r="L334" s="0" t="n">
        <v>193</v>
      </c>
      <c r="M334" s="0" t="n">
        <v>0</v>
      </c>
      <c r="N334" s="0" t="n">
        <v>10</v>
      </c>
      <c r="O334" s="0" t="n">
        <v>0</v>
      </c>
      <c r="P334" s="0" t="n">
        <v>32</v>
      </c>
      <c r="Q334" s="114" t="n">
        <v>58</v>
      </c>
      <c r="R334" s="114" t="n">
        <v>125</v>
      </c>
      <c r="S334" s="114" t="n">
        <v>1.3</v>
      </c>
      <c r="T334" s="114" t="n">
        <v>1.65</v>
      </c>
      <c r="U334" s="114" t="n">
        <v>1</v>
      </c>
      <c r="V334" s="114" t="n">
        <v>0</v>
      </c>
      <c r="W334" s="0" t="s">
        <v>1539</v>
      </c>
      <c r="X334" s="114" t="s">
        <v>58</v>
      </c>
      <c r="Y334" s="114" t="s">
        <v>58</v>
      </c>
      <c r="Z334" s="114" t="s">
        <v>58</v>
      </c>
      <c r="AA334" s="0" t="s">
        <v>1686</v>
      </c>
      <c r="AB334" s="0" t="s">
        <v>1541</v>
      </c>
      <c r="AC334" s="0" t="s">
        <v>58</v>
      </c>
      <c r="AD334" s="0" t="s">
        <v>58</v>
      </c>
      <c r="AE334" s="0" t="s">
        <v>1687</v>
      </c>
      <c r="AF334" s="0" t="s">
        <v>464</v>
      </c>
      <c r="AG334" s="0" t="s">
        <v>58</v>
      </c>
      <c r="AH334" s="0" t="s">
        <v>58</v>
      </c>
    </row>
    <row r="335" customFormat="false" ht="15" hidden="false" customHeight="true" outlineLevel="0" collapsed="false">
      <c r="A335" s="0" t="s">
        <v>1689</v>
      </c>
      <c r="B335" s="0" t="s">
        <v>1690</v>
      </c>
      <c r="C335" s="0" t="s">
        <v>925</v>
      </c>
      <c r="D335" s="0" t="s">
        <v>438</v>
      </c>
      <c r="E335" s="0" t="s">
        <v>394</v>
      </c>
      <c r="F335" s="0" t="n">
        <v>4168</v>
      </c>
      <c r="G335" s="0" t="s">
        <v>138</v>
      </c>
      <c r="H335" s="0" t="n">
        <v>174</v>
      </c>
      <c r="I335" s="0" t="n">
        <v>234</v>
      </c>
      <c r="J335" s="0" t="n">
        <v>0</v>
      </c>
      <c r="K335" s="0" t="n">
        <v>50</v>
      </c>
      <c r="L335" s="0" t="n">
        <v>197</v>
      </c>
      <c r="M335" s="0" t="n">
        <v>0</v>
      </c>
      <c r="N335" s="0" t="n">
        <v>10</v>
      </c>
      <c r="O335" s="0" t="n">
        <v>0</v>
      </c>
      <c r="P335" s="0" t="n">
        <v>26</v>
      </c>
      <c r="Q335" s="0" t="n">
        <v>65</v>
      </c>
      <c r="R335" s="0" t="n">
        <v>106</v>
      </c>
      <c r="S335" s="114" t="n">
        <v>1.1</v>
      </c>
      <c r="T335" s="114" t="n">
        <v>0.55</v>
      </c>
      <c r="U335" s="114" t="n">
        <v>1.05</v>
      </c>
      <c r="V335" s="114" t="n">
        <v>0</v>
      </c>
      <c r="W335" s="153" t="s">
        <v>1691</v>
      </c>
      <c r="X335" s="114" t="s">
        <v>58</v>
      </c>
      <c r="Y335" s="114" t="s">
        <v>58</v>
      </c>
      <c r="Z335" s="114" t="s">
        <v>58</v>
      </c>
      <c r="AA335" s="114" t="s">
        <v>1692</v>
      </c>
      <c r="AB335" s="114" t="s">
        <v>1693</v>
      </c>
      <c r="AC335" s="0" t="s">
        <v>58</v>
      </c>
      <c r="AD335" s="0" t="s">
        <v>58</v>
      </c>
      <c r="AE335" s="155" t="s">
        <v>1694</v>
      </c>
      <c r="AF335" s="114" t="s">
        <v>1691</v>
      </c>
      <c r="AG335" s="0" t="s">
        <v>58</v>
      </c>
      <c r="AH335" s="0" t="s">
        <v>58</v>
      </c>
    </row>
    <row r="336" customFormat="false" ht="15" hidden="false" customHeight="true" outlineLevel="0" collapsed="false">
      <c r="A336" s="0" t="s">
        <v>1695</v>
      </c>
      <c r="B336" s="0" t="s">
        <v>1696</v>
      </c>
      <c r="C336" s="0" t="s">
        <v>562</v>
      </c>
      <c r="D336" s="0" t="s">
        <v>438</v>
      </c>
      <c r="E336" s="0" t="s">
        <v>1512</v>
      </c>
      <c r="F336" s="0" t="n">
        <v>3828</v>
      </c>
      <c r="G336" s="0" t="s">
        <v>140</v>
      </c>
      <c r="H336" s="0" t="n">
        <v>165</v>
      </c>
      <c r="I336" s="0" t="n">
        <v>237</v>
      </c>
      <c r="J336" s="0" t="n">
        <v>199</v>
      </c>
      <c r="K336" s="0" t="n">
        <v>65</v>
      </c>
      <c r="L336" s="0" t="n">
        <v>178</v>
      </c>
      <c r="M336" s="0" t="n">
        <v>0</v>
      </c>
      <c r="N336" s="0" t="n">
        <v>11</v>
      </c>
      <c r="O336" s="0" t="n">
        <v>0</v>
      </c>
      <c r="P336" s="0" t="n">
        <v>27</v>
      </c>
      <c r="Q336" s="114" t="n">
        <v>83</v>
      </c>
      <c r="R336" s="114" t="n">
        <v>126</v>
      </c>
      <c r="S336" s="114" t="n">
        <v>1.25</v>
      </c>
      <c r="T336" s="114" t="n">
        <v>1.65</v>
      </c>
      <c r="U336" s="114" t="n">
        <v>1.1</v>
      </c>
      <c r="V336" s="114" t="n">
        <v>0</v>
      </c>
      <c r="W336" s="114" t="s">
        <v>58</v>
      </c>
      <c r="X336" s="114" t="s">
        <v>58</v>
      </c>
      <c r="Y336" s="114" t="s">
        <v>58</v>
      </c>
      <c r="Z336" s="114" t="s">
        <v>58</v>
      </c>
      <c r="AA336" s="0" t="s">
        <v>1697</v>
      </c>
      <c r="AB336" s="0" t="s">
        <v>58</v>
      </c>
      <c r="AC336" s="0" t="s">
        <v>58</v>
      </c>
      <c r="AD336" s="0" t="s">
        <v>58</v>
      </c>
      <c r="AE336" s="0" t="s">
        <v>1698</v>
      </c>
      <c r="AF336" s="0" t="s">
        <v>58</v>
      </c>
      <c r="AG336" s="0" t="s">
        <v>58</v>
      </c>
      <c r="AH336" s="0" t="s">
        <v>58</v>
      </c>
    </row>
    <row r="337" customFormat="false" ht="15" hidden="false" customHeight="true" outlineLevel="0" collapsed="false">
      <c r="A337" s="0" t="n">
        <v>123</v>
      </c>
      <c r="B337" s="0" t="s">
        <v>1699</v>
      </c>
      <c r="C337" s="0" t="s">
        <v>471</v>
      </c>
      <c r="D337" s="0" t="s">
        <v>472</v>
      </c>
      <c r="E337" s="0" t="s">
        <v>1512</v>
      </c>
      <c r="F337" s="0" t="n">
        <v>4621</v>
      </c>
      <c r="G337" s="0" t="s">
        <v>140</v>
      </c>
      <c r="H337" s="0" t="n">
        <v>160</v>
      </c>
      <c r="I337" s="0" t="n">
        <v>178</v>
      </c>
      <c r="J337" s="0" t="n">
        <v>141</v>
      </c>
      <c r="K337" s="0" t="n">
        <v>68</v>
      </c>
      <c r="L337" s="0" t="n">
        <v>241</v>
      </c>
      <c r="M337" s="0" t="n">
        <v>0</v>
      </c>
      <c r="N337" s="0" t="n">
        <v>10</v>
      </c>
      <c r="O337" s="0" t="n">
        <v>0</v>
      </c>
      <c r="P337" s="0" t="n">
        <v>25</v>
      </c>
      <c r="Q337" s="114" t="n">
        <v>69</v>
      </c>
      <c r="R337" s="114" t="n">
        <v>116</v>
      </c>
      <c r="S337" s="114" t="n">
        <v>1.25</v>
      </c>
      <c r="T337" s="114" t="n">
        <v>1.6</v>
      </c>
      <c r="U337" s="114" t="n">
        <v>1.2</v>
      </c>
      <c r="V337" s="114" t="n">
        <v>0</v>
      </c>
      <c r="W337" s="0" t="s">
        <v>1601</v>
      </c>
      <c r="X337" s="114" t="s">
        <v>58</v>
      </c>
      <c r="Y337" s="114" t="s">
        <v>58</v>
      </c>
      <c r="Z337" s="114" t="s">
        <v>58</v>
      </c>
      <c r="AA337" s="0" t="s">
        <v>1700</v>
      </c>
      <c r="AB337" s="0" t="s">
        <v>1701</v>
      </c>
      <c r="AC337" s="0" t="s">
        <v>58</v>
      </c>
      <c r="AD337" s="0" t="s">
        <v>58</v>
      </c>
      <c r="AE337" s="0" t="s">
        <v>1702</v>
      </c>
      <c r="AF337" s="0" t="s">
        <v>464</v>
      </c>
      <c r="AG337" s="0" t="s">
        <v>58</v>
      </c>
      <c r="AH337" s="0" t="s">
        <v>58</v>
      </c>
    </row>
    <row r="338" customFormat="false" ht="15" hidden="false" customHeight="true" outlineLevel="0" collapsed="false">
      <c r="A338" s="0" t="n">
        <v>41</v>
      </c>
      <c r="B338" s="0" t="s">
        <v>1703</v>
      </c>
      <c r="C338" s="0" t="s">
        <v>437</v>
      </c>
      <c r="D338" s="0" t="s">
        <v>472</v>
      </c>
      <c r="E338" s="0" t="s">
        <v>1512</v>
      </c>
      <c r="F338" s="0" t="n">
        <v>3346</v>
      </c>
      <c r="G338" s="0" t="s">
        <v>138</v>
      </c>
      <c r="H338" s="0" t="n">
        <v>167</v>
      </c>
      <c r="I338" s="0" t="n">
        <v>240</v>
      </c>
      <c r="J338" s="0" t="n">
        <v>0</v>
      </c>
      <c r="K338" s="0" t="n">
        <v>53</v>
      </c>
      <c r="L338" s="0" t="n">
        <v>204</v>
      </c>
      <c r="M338" s="0" t="n">
        <v>0</v>
      </c>
      <c r="N338" s="0" t="n">
        <v>10</v>
      </c>
      <c r="O338" s="0" t="n">
        <v>0</v>
      </c>
      <c r="P338" s="0" t="n">
        <v>26</v>
      </c>
      <c r="Q338" s="114" t="n">
        <v>27</v>
      </c>
      <c r="R338" s="114" t="n">
        <v>121</v>
      </c>
      <c r="S338" s="114" t="n">
        <v>1.2</v>
      </c>
      <c r="T338" s="114" t="n">
        <v>0.55</v>
      </c>
      <c r="U338" s="114" t="n">
        <v>1.05</v>
      </c>
      <c r="V338" s="114" t="n">
        <v>0</v>
      </c>
      <c r="W338" s="0" t="s">
        <v>1588</v>
      </c>
      <c r="X338" s="114" t="s">
        <v>58</v>
      </c>
      <c r="Y338" s="114" t="s">
        <v>58</v>
      </c>
      <c r="Z338" s="114" t="s">
        <v>58</v>
      </c>
      <c r="AA338" s="0" t="s">
        <v>1704</v>
      </c>
      <c r="AB338" s="0" t="s">
        <v>1705</v>
      </c>
      <c r="AC338" s="0" t="s">
        <v>58</v>
      </c>
      <c r="AD338" s="0" t="s">
        <v>58</v>
      </c>
      <c r="AE338" s="0" t="s">
        <v>1196</v>
      </c>
      <c r="AF338" s="0" t="s">
        <v>464</v>
      </c>
      <c r="AG338" s="0" t="s">
        <v>58</v>
      </c>
      <c r="AH338" s="0" t="s">
        <v>58</v>
      </c>
    </row>
    <row r="339" customFormat="false" ht="15" hidden="false" customHeight="true" outlineLevel="0" collapsed="false">
      <c r="A339" s="0" t="n">
        <v>39</v>
      </c>
      <c r="B339" s="0" t="s">
        <v>1706</v>
      </c>
      <c r="C339" s="0" t="s">
        <v>437</v>
      </c>
      <c r="D339" s="0" t="s">
        <v>527</v>
      </c>
      <c r="E339" s="0" t="s">
        <v>1512</v>
      </c>
      <c r="F339" s="0" t="n">
        <v>3290</v>
      </c>
      <c r="G339" s="0" t="s">
        <v>138</v>
      </c>
      <c r="H339" s="0" t="n">
        <v>160</v>
      </c>
      <c r="I339" s="0" t="n">
        <v>232</v>
      </c>
      <c r="J339" s="0" t="n">
        <v>0</v>
      </c>
      <c r="K339" s="0" t="n">
        <v>55</v>
      </c>
      <c r="L339" s="0" t="n">
        <v>198</v>
      </c>
      <c r="M339" s="0" t="n">
        <v>0</v>
      </c>
      <c r="N339" s="0" t="n">
        <v>9</v>
      </c>
      <c r="O339" s="0" t="n">
        <v>0</v>
      </c>
      <c r="P339" s="0" t="n">
        <v>26</v>
      </c>
      <c r="Q339" s="114" t="n">
        <v>75</v>
      </c>
      <c r="R339" s="114" t="n">
        <v>118</v>
      </c>
      <c r="S339" s="114" t="n">
        <v>1.2</v>
      </c>
      <c r="T339" s="114" t="n">
        <v>0.45</v>
      </c>
      <c r="U339" s="114" t="n">
        <v>1.05</v>
      </c>
      <c r="V339" s="114" t="n">
        <v>0</v>
      </c>
      <c r="W339" s="0" t="s">
        <v>1707</v>
      </c>
      <c r="X339" s="114" t="s">
        <v>58</v>
      </c>
      <c r="Y339" s="114" t="s">
        <v>58</v>
      </c>
      <c r="Z339" s="114" t="s">
        <v>58</v>
      </c>
      <c r="AA339" s="0" t="s">
        <v>1708</v>
      </c>
      <c r="AB339" s="0" t="s">
        <v>1709</v>
      </c>
      <c r="AC339" s="0" t="s">
        <v>58</v>
      </c>
      <c r="AD339" s="0" t="s">
        <v>58</v>
      </c>
      <c r="AE339" s="0" t="s">
        <v>949</v>
      </c>
      <c r="AF339" s="0" t="s">
        <v>464</v>
      </c>
      <c r="AG339" s="0" t="s">
        <v>58</v>
      </c>
      <c r="AH339" s="0" t="s">
        <v>58</v>
      </c>
    </row>
    <row r="340" customFormat="false" ht="15" hidden="false" customHeight="true" outlineLevel="0" collapsed="false">
      <c r="A340" s="0" t="n">
        <v>44</v>
      </c>
      <c r="B340" s="0" t="s">
        <v>1710</v>
      </c>
      <c r="C340" s="0" t="s">
        <v>437</v>
      </c>
      <c r="D340" s="0" t="s">
        <v>472</v>
      </c>
      <c r="E340" s="0" t="s">
        <v>1512</v>
      </c>
      <c r="F340" s="0" t="n">
        <v>4565</v>
      </c>
      <c r="G340" s="0" t="s">
        <v>140</v>
      </c>
      <c r="H340" s="0" t="n">
        <v>170</v>
      </c>
      <c r="I340" s="0" t="n">
        <v>204</v>
      </c>
      <c r="J340" s="0" t="n">
        <v>0</v>
      </c>
      <c r="K340" s="0" t="n">
        <v>58</v>
      </c>
      <c r="L340" s="0" t="n">
        <v>245</v>
      </c>
      <c r="M340" s="0" t="n">
        <v>0</v>
      </c>
      <c r="N340" s="0" t="n">
        <v>10</v>
      </c>
      <c r="O340" s="0" t="n">
        <v>0</v>
      </c>
      <c r="P340" s="0" t="n">
        <v>26</v>
      </c>
      <c r="Q340" s="114" t="n">
        <v>78</v>
      </c>
      <c r="R340" s="114" t="n">
        <v>125</v>
      </c>
      <c r="S340" s="114" t="n">
        <v>1.1</v>
      </c>
      <c r="T340" s="114" t="n">
        <v>0.6</v>
      </c>
      <c r="U340" s="114" t="n">
        <v>1.3</v>
      </c>
      <c r="V340" s="114" t="n">
        <v>0</v>
      </c>
      <c r="W340" s="0" t="s">
        <v>1641</v>
      </c>
      <c r="X340" s="114" t="s">
        <v>58</v>
      </c>
      <c r="Y340" s="114" t="s">
        <v>58</v>
      </c>
      <c r="Z340" s="114" t="s">
        <v>58</v>
      </c>
      <c r="AA340" s="0" t="s">
        <v>1711</v>
      </c>
      <c r="AB340" s="0" t="s">
        <v>1618</v>
      </c>
      <c r="AC340" s="0" t="s">
        <v>1712</v>
      </c>
      <c r="AD340" s="0" t="s">
        <v>58</v>
      </c>
      <c r="AE340" s="0" t="s">
        <v>1713</v>
      </c>
      <c r="AF340" s="0" t="s">
        <v>1620</v>
      </c>
      <c r="AG340" s="0" t="s">
        <v>464</v>
      </c>
      <c r="AH340" s="0" t="s">
        <v>58</v>
      </c>
    </row>
    <row r="341" customFormat="false" ht="15" hidden="false" customHeight="true" outlineLevel="0" collapsed="false">
      <c r="A341" s="0" t="n">
        <v>3044</v>
      </c>
      <c r="B341" s="0" t="s">
        <v>1714</v>
      </c>
      <c r="C341" s="0" t="s">
        <v>437</v>
      </c>
      <c r="D341" s="0" t="s">
        <v>438</v>
      </c>
      <c r="E341" s="0" t="s">
        <v>1512</v>
      </c>
      <c r="F341" s="0" t="n">
        <v>5355</v>
      </c>
      <c r="G341" s="0" t="s">
        <v>140</v>
      </c>
      <c r="H341" s="0" t="n">
        <v>170</v>
      </c>
      <c r="I341" s="0" t="n">
        <v>234</v>
      </c>
      <c r="J341" s="0" t="n">
        <v>0</v>
      </c>
      <c r="K341" s="0" t="n">
        <v>78</v>
      </c>
      <c r="L341" s="0" t="n">
        <v>260</v>
      </c>
      <c r="M341" s="0" t="n">
        <v>0</v>
      </c>
      <c r="N341" s="0" t="n">
        <v>10</v>
      </c>
      <c r="O341" s="0" t="n">
        <v>0</v>
      </c>
      <c r="P341" s="0" t="n">
        <v>26</v>
      </c>
      <c r="Q341" s="114" t="n">
        <v>78</v>
      </c>
      <c r="R341" s="114" t="n">
        <v>125</v>
      </c>
      <c r="S341" s="114" t="n">
        <v>1.15</v>
      </c>
      <c r="T341" s="114" t="n">
        <v>0.65</v>
      </c>
      <c r="U341" s="114" t="n">
        <v>1.35</v>
      </c>
      <c r="V341" s="114" t="n">
        <v>0</v>
      </c>
      <c r="W341" s="0" t="s">
        <v>1641</v>
      </c>
      <c r="X341" s="114" t="s">
        <v>58</v>
      </c>
      <c r="Y341" s="114" t="s">
        <v>58</v>
      </c>
      <c r="Z341" s="114" t="s">
        <v>58</v>
      </c>
      <c r="AA341" s="0" t="s">
        <v>1711</v>
      </c>
      <c r="AB341" s="0" t="s">
        <v>1618</v>
      </c>
      <c r="AC341" s="0" t="s">
        <v>1712</v>
      </c>
      <c r="AD341" s="0" t="s">
        <v>58</v>
      </c>
      <c r="AE341" s="0" t="s">
        <v>1713</v>
      </c>
      <c r="AF341" s="0" t="s">
        <v>1620</v>
      </c>
      <c r="AG341" s="0" t="s">
        <v>464</v>
      </c>
      <c r="AH341" s="0" t="s">
        <v>58</v>
      </c>
    </row>
    <row r="342" customFormat="false" ht="15" hidden="false" customHeight="true" outlineLevel="0" collapsed="false">
      <c r="A342" s="0" t="n">
        <v>244</v>
      </c>
      <c r="B342" s="0" t="s">
        <v>1715</v>
      </c>
      <c r="C342" s="0" t="s">
        <v>1065</v>
      </c>
      <c r="D342" s="0" t="s">
        <v>430</v>
      </c>
      <c r="E342" s="0" t="s">
        <v>1512</v>
      </c>
      <c r="F342" s="0" t="n">
        <v>6252</v>
      </c>
      <c r="G342" s="0" t="s">
        <v>140</v>
      </c>
      <c r="H342" s="0" t="n">
        <v>182</v>
      </c>
      <c r="I342" s="0" t="n">
        <v>226</v>
      </c>
      <c r="J342" s="0" t="n">
        <v>153</v>
      </c>
      <c r="K342" s="0" t="n">
        <v>62</v>
      </c>
      <c r="L342" s="0" t="n">
        <v>205</v>
      </c>
      <c r="M342" s="0" t="n">
        <v>0</v>
      </c>
      <c r="N342" s="0" t="n">
        <v>12</v>
      </c>
      <c r="O342" s="0" t="n">
        <v>0</v>
      </c>
      <c r="P342" s="0" t="n">
        <v>25</v>
      </c>
      <c r="Q342" s="114" t="n">
        <v>78</v>
      </c>
      <c r="R342" s="114" t="n">
        <v>128</v>
      </c>
      <c r="S342" s="114" t="n">
        <v>1.25</v>
      </c>
      <c r="T342" s="114" t="n">
        <v>1.6</v>
      </c>
      <c r="U342" s="114" t="n">
        <v>1.2</v>
      </c>
      <c r="V342" s="114" t="n">
        <v>0</v>
      </c>
      <c r="W342" s="0" t="s">
        <v>1519</v>
      </c>
      <c r="X342" s="114" t="s">
        <v>58</v>
      </c>
      <c r="Y342" s="114" t="s">
        <v>58</v>
      </c>
      <c r="Z342" s="114" t="s">
        <v>58</v>
      </c>
      <c r="AA342" s="0" t="s">
        <v>1716</v>
      </c>
      <c r="AB342" s="0" t="s">
        <v>1717</v>
      </c>
      <c r="AC342" s="0" t="s">
        <v>58</v>
      </c>
      <c r="AD342" s="0" t="s">
        <v>58</v>
      </c>
      <c r="AE342" s="0" t="s">
        <v>1718</v>
      </c>
      <c r="AF342" s="0" t="s">
        <v>464</v>
      </c>
      <c r="AG342" s="0" t="s">
        <v>58</v>
      </c>
      <c r="AH342" s="0" t="s">
        <v>58</v>
      </c>
    </row>
    <row r="343" customFormat="false" ht="15" hidden="false" customHeight="true" outlineLevel="0" collapsed="false">
      <c r="B343" s="0" t="s">
        <v>1719</v>
      </c>
      <c r="C343" s="0" t="s">
        <v>1065</v>
      </c>
      <c r="D343" s="0" t="s">
        <v>430</v>
      </c>
      <c r="E343" s="0" t="s">
        <v>394</v>
      </c>
      <c r="F343" s="0" t="n">
        <v>5946</v>
      </c>
      <c r="G343" s="0" t="s">
        <v>140</v>
      </c>
      <c r="H343" s="0" t="n">
        <v>182</v>
      </c>
      <c r="I343" s="0" t="n">
        <v>310</v>
      </c>
      <c r="J343" s="0" t="n">
        <v>245</v>
      </c>
      <c r="K343" s="0" t="n">
        <v>66</v>
      </c>
      <c r="L343" s="0" t="n">
        <v>219</v>
      </c>
      <c r="M343" s="0" t="n">
        <v>0</v>
      </c>
      <c r="N343" s="0" t="n">
        <v>11</v>
      </c>
      <c r="O343" s="0" t="n">
        <v>0</v>
      </c>
      <c r="P343" s="0" t="n">
        <v>26</v>
      </c>
      <c r="Q343" s="0" t="n">
        <v>50</v>
      </c>
      <c r="R343" s="0" t="n">
        <v>132</v>
      </c>
      <c r="S343" s="114" t="n">
        <v>1.6</v>
      </c>
      <c r="T343" s="114" t="n">
        <v>1.3</v>
      </c>
      <c r="U343" s="114" t="n">
        <v>1</v>
      </c>
      <c r="V343" s="114" t="n">
        <v>0</v>
      </c>
      <c r="W343" s="114" t="s">
        <v>1720</v>
      </c>
      <c r="X343" s="114" t="s">
        <v>1721</v>
      </c>
      <c r="Y343" s="114" t="s">
        <v>58</v>
      </c>
      <c r="Z343" s="114" t="s">
        <v>58</v>
      </c>
      <c r="AA343" s="114"/>
      <c r="AB343" s="114"/>
      <c r="AC343" s="114"/>
      <c r="AD343" s="114"/>
      <c r="AE343" s="114"/>
      <c r="AF343" s="114"/>
      <c r="AG343" s="114"/>
      <c r="AH343" s="114"/>
    </row>
    <row r="344" customFormat="false" ht="15" hidden="false" customHeight="true" outlineLevel="0" collapsed="false">
      <c r="A344" s="0" t="n">
        <v>47</v>
      </c>
      <c r="B344" s="0" t="s">
        <v>1722</v>
      </c>
      <c r="C344" s="0" t="s">
        <v>437</v>
      </c>
      <c r="D344" s="0" t="s">
        <v>438</v>
      </c>
      <c r="E344" s="0" t="s">
        <v>1512</v>
      </c>
      <c r="F344" s="0" t="n">
        <v>4015</v>
      </c>
      <c r="G344" s="0" t="s">
        <v>140</v>
      </c>
      <c r="H344" s="0" t="n">
        <v>161</v>
      </c>
      <c r="I344" s="0" t="n">
        <v>218</v>
      </c>
      <c r="J344" s="0" t="n">
        <v>0</v>
      </c>
      <c r="K344" s="0" t="n">
        <v>57</v>
      </c>
      <c r="L344" s="0" t="n">
        <v>230</v>
      </c>
      <c r="M344" s="0" t="n">
        <v>0</v>
      </c>
      <c r="N344" s="0" t="n">
        <v>11</v>
      </c>
      <c r="O344" s="0" t="n">
        <v>0</v>
      </c>
      <c r="P344" s="0" t="n">
        <v>26</v>
      </c>
      <c r="Q344" s="114" t="n">
        <v>9</v>
      </c>
      <c r="R344" s="114" t="n">
        <v>125</v>
      </c>
      <c r="S344" s="114" t="n">
        <v>1.15</v>
      </c>
      <c r="T344" s="114" t="n">
        <v>0.6</v>
      </c>
      <c r="U344" s="114" t="n">
        <v>1.3</v>
      </c>
      <c r="V344" s="114" t="n">
        <v>0</v>
      </c>
      <c r="W344" s="0" t="s">
        <v>1544</v>
      </c>
      <c r="X344" s="114" t="s">
        <v>58</v>
      </c>
      <c r="Y344" s="114" t="s">
        <v>58</v>
      </c>
      <c r="Z344" s="114" t="s">
        <v>58</v>
      </c>
      <c r="AA344" s="0" t="s">
        <v>590</v>
      </c>
      <c r="AB344" s="0" t="s">
        <v>1546</v>
      </c>
      <c r="AC344" s="0" t="s">
        <v>1547</v>
      </c>
      <c r="AD344" s="0" t="s">
        <v>58</v>
      </c>
      <c r="AE344" s="0" t="s">
        <v>592</v>
      </c>
      <c r="AF344" s="0" t="s">
        <v>1549</v>
      </c>
      <c r="AG344" s="0" t="s">
        <v>464</v>
      </c>
      <c r="AH344" s="0" t="s">
        <v>58</v>
      </c>
    </row>
    <row r="345" customFormat="false" ht="15" hidden="false" customHeight="true" outlineLevel="0" collapsed="false">
      <c r="A345" s="0" t="s">
        <v>1723</v>
      </c>
      <c r="B345" s="0" t="s">
        <v>1724</v>
      </c>
      <c r="C345" s="0" t="s">
        <v>1065</v>
      </c>
      <c r="D345" s="0" t="s">
        <v>1344</v>
      </c>
      <c r="E345" s="0" t="s">
        <v>1512</v>
      </c>
      <c r="F345" s="0" t="n">
        <v>5920</v>
      </c>
      <c r="G345" s="0" t="s">
        <v>140</v>
      </c>
      <c r="H345" s="0" t="n">
        <v>171</v>
      </c>
      <c r="I345" s="0" t="n">
        <v>283</v>
      </c>
      <c r="J345" s="0" t="n">
        <v>215</v>
      </c>
      <c r="K345" s="0" t="n">
        <v>78</v>
      </c>
      <c r="L345" s="0" t="n">
        <v>233</v>
      </c>
      <c r="M345" s="0" t="n">
        <v>0</v>
      </c>
      <c r="N345" s="0" t="n">
        <v>13</v>
      </c>
      <c r="O345" s="0" t="n">
        <v>0</v>
      </c>
      <c r="P345" s="0" t="n">
        <v>26</v>
      </c>
      <c r="Q345" s="114" t="n">
        <v>0</v>
      </c>
      <c r="R345" s="114" t="n">
        <v>125</v>
      </c>
      <c r="S345" s="114" t="n">
        <v>1.3</v>
      </c>
      <c r="T345" s="114" t="n">
        <v>1.1</v>
      </c>
      <c r="U345" s="114" t="n">
        <v>1.1</v>
      </c>
      <c r="V345" s="114" t="n">
        <v>0</v>
      </c>
      <c r="W345" s="0" t="s">
        <v>1725</v>
      </c>
      <c r="X345" s="0" t="s">
        <v>1726</v>
      </c>
      <c r="Y345" s="114" t="s">
        <v>58</v>
      </c>
      <c r="Z345" s="114" t="s">
        <v>58</v>
      </c>
      <c r="AA345" s="0" t="s">
        <v>1727</v>
      </c>
      <c r="AB345" s="0" t="s">
        <v>1728</v>
      </c>
      <c r="AC345" s="0" t="s">
        <v>818</v>
      </c>
      <c r="AD345" s="0" t="s">
        <v>1729</v>
      </c>
      <c r="AE345" s="0" t="s">
        <v>1730</v>
      </c>
      <c r="AF345" s="0" t="s">
        <v>1731</v>
      </c>
      <c r="AG345" s="0" t="s">
        <v>822</v>
      </c>
      <c r="AH345" s="0" t="s">
        <v>464</v>
      </c>
    </row>
    <row r="346" customFormat="false" ht="15" hidden="false" customHeight="true" outlineLevel="0" collapsed="false">
      <c r="A346" s="0" t="s">
        <v>1732</v>
      </c>
      <c r="B346" s="0" t="s">
        <v>395</v>
      </c>
      <c r="C346" s="0" t="s">
        <v>639</v>
      </c>
      <c r="D346" s="0" t="s">
        <v>1344</v>
      </c>
      <c r="E346" s="0" t="s">
        <v>1512</v>
      </c>
      <c r="F346" s="0" t="n">
        <v>5363</v>
      </c>
      <c r="G346" s="0" t="s">
        <v>140</v>
      </c>
      <c r="H346" s="0" t="n">
        <v>190</v>
      </c>
      <c r="I346" s="0" t="n">
        <v>276</v>
      </c>
      <c r="J346" s="0" t="n">
        <v>226</v>
      </c>
      <c r="K346" s="0" t="n">
        <v>80</v>
      </c>
      <c r="L346" s="0" t="n">
        <v>248</v>
      </c>
      <c r="M346" s="0" t="n">
        <v>0</v>
      </c>
      <c r="N346" s="0" t="n">
        <v>13</v>
      </c>
      <c r="O346" s="0" t="n">
        <v>0</v>
      </c>
      <c r="P346" s="0" t="n">
        <v>26</v>
      </c>
      <c r="Q346" s="114" t="n">
        <v>0</v>
      </c>
      <c r="R346" s="114" t="n">
        <v>137</v>
      </c>
      <c r="S346" s="114" t="n">
        <v>1.3</v>
      </c>
      <c r="T346" s="114" t="n">
        <v>1.2</v>
      </c>
      <c r="U346" s="114" t="n">
        <v>1.25</v>
      </c>
      <c r="V346" s="114" t="n">
        <v>0</v>
      </c>
      <c r="W346" s="0" t="s">
        <v>1733</v>
      </c>
      <c r="X346" s="114" t="s">
        <v>58</v>
      </c>
      <c r="Y346" s="114" t="s">
        <v>58</v>
      </c>
      <c r="Z346" s="114" t="s">
        <v>58</v>
      </c>
      <c r="AA346" s="0" t="s">
        <v>1734</v>
      </c>
      <c r="AB346" s="0" t="s">
        <v>1735</v>
      </c>
      <c r="AC346" s="0" t="s">
        <v>818</v>
      </c>
      <c r="AD346" s="0" t="s">
        <v>1736</v>
      </c>
      <c r="AE346" s="0" t="s">
        <v>1737</v>
      </c>
      <c r="AF346" s="0" t="s">
        <v>1738</v>
      </c>
      <c r="AG346" s="0" t="s">
        <v>822</v>
      </c>
      <c r="AH346" s="0" t="s">
        <v>464</v>
      </c>
    </row>
    <row r="347" customFormat="false" ht="15" hidden="false" customHeight="true" outlineLevel="0" collapsed="false">
      <c r="A347" s="0" t="n">
        <v>40</v>
      </c>
      <c r="B347" s="0" t="s">
        <v>1739</v>
      </c>
      <c r="C347" s="0" t="s">
        <v>437</v>
      </c>
      <c r="D347" s="0" t="s">
        <v>527</v>
      </c>
      <c r="E347" s="0" t="s">
        <v>1512</v>
      </c>
      <c r="F347" s="0" t="n">
        <v>3290</v>
      </c>
      <c r="G347" s="0" t="s">
        <v>138</v>
      </c>
      <c r="H347" s="0" t="n">
        <v>160</v>
      </c>
      <c r="I347" s="0" t="n">
        <v>232</v>
      </c>
      <c r="J347" s="0" t="n">
        <v>0</v>
      </c>
      <c r="K347" s="0" t="n">
        <v>55</v>
      </c>
      <c r="L347" s="0" t="n">
        <v>198</v>
      </c>
      <c r="M347" s="0" t="n">
        <v>0</v>
      </c>
      <c r="N347" s="0" t="n">
        <v>9</v>
      </c>
      <c r="O347" s="0" t="n">
        <v>0</v>
      </c>
      <c r="P347" s="0" t="n">
        <v>26</v>
      </c>
      <c r="Q347" s="114" t="n">
        <v>71</v>
      </c>
      <c r="R347" s="114" t="n">
        <v>118</v>
      </c>
      <c r="S347" s="114" t="n">
        <v>1.2</v>
      </c>
      <c r="T347" s="114" t="n">
        <v>0.45</v>
      </c>
      <c r="U347" s="114" t="n">
        <v>1.05</v>
      </c>
      <c r="V347" s="114" t="n">
        <v>0</v>
      </c>
      <c r="W347" s="0" t="s">
        <v>1707</v>
      </c>
      <c r="X347" s="114" t="s">
        <v>58</v>
      </c>
      <c r="Y347" s="114" t="s">
        <v>58</v>
      </c>
      <c r="Z347" s="114" t="s">
        <v>58</v>
      </c>
      <c r="AA347" s="0" t="s">
        <v>590</v>
      </c>
      <c r="AB347" s="0" t="s">
        <v>1740</v>
      </c>
      <c r="AC347" s="0" t="s">
        <v>58</v>
      </c>
      <c r="AD347" s="0" t="s">
        <v>58</v>
      </c>
      <c r="AE347" s="0" t="s">
        <v>592</v>
      </c>
      <c r="AF347" s="0" t="s">
        <v>464</v>
      </c>
      <c r="AG347" s="0" t="s">
        <v>58</v>
      </c>
      <c r="AH347" s="0" t="s">
        <v>58</v>
      </c>
    </row>
    <row r="348" customFormat="false" ht="15" hidden="false" customHeight="true" outlineLevel="0" collapsed="false">
      <c r="A348" s="0" t="n">
        <v>120</v>
      </c>
      <c r="B348" s="0" t="s">
        <v>1741</v>
      </c>
      <c r="C348" s="0" t="s">
        <v>471</v>
      </c>
      <c r="D348" s="0" t="s">
        <v>472</v>
      </c>
      <c r="E348" s="0" t="s">
        <v>1512</v>
      </c>
      <c r="F348" s="0" t="n">
        <v>3461</v>
      </c>
      <c r="G348" s="0" t="s">
        <v>138</v>
      </c>
      <c r="H348" s="0" t="n">
        <v>160</v>
      </c>
      <c r="I348" s="0" t="n">
        <v>218</v>
      </c>
      <c r="J348" s="0" t="n">
        <v>215</v>
      </c>
      <c r="K348" s="0" t="n">
        <v>67</v>
      </c>
      <c r="L348" s="0" t="n">
        <v>208</v>
      </c>
      <c r="M348" s="0" t="n">
        <v>0</v>
      </c>
      <c r="N348" s="0" t="n">
        <v>10</v>
      </c>
      <c r="O348" s="0" t="n">
        <v>0</v>
      </c>
      <c r="P348" s="0" t="n">
        <v>25</v>
      </c>
      <c r="Q348" s="114" t="n">
        <v>75</v>
      </c>
      <c r="R348" s="114" t="n">
        <v>116</v>
      </c>
      <c r="S348" s="114" t="n">
        <v>1.45</v>
      </c>
      <c r="T348" s="114" t="n">
        <v>1.6</v>
      </c>
      <c r="U348" s="114" t="n">
        <v>1</v>
      </c>
      <c r="V348" s="114" t="n">
        <v>0</v>
      </c>
      <c r="W348" s="0" t="s">
        <v>1667</v>
      </c>
      <c r="X348" s="114" t="s">
        <v>58</v>
      </c>
      <c r="Y348" s="114" t="s">
        <v>58</v>
      </c>
      <c r="Z348" s="114" t="s">
        <v>58</v>
      </c>
      <c r="AA348" s="0" t="s">
        <v>1742</v>
      </c>
      <c r="AB348" s="0" t="s">
        <v>1743</v>
      </c>
      <c r="AC348" s="0" t="s">
        <v>58</v>
      </c>
      <c r="AD348" s="0" t="s">
        <v>58</v>
      </c>
      <c r="AE348" s="0" t="s">
        <v>1744</v>
      </c>
      <c r="AF348" s="0" t="s">
        <v>464</v>
      </c>
      <c r="AG348" s="0" t="s">
        <v>58</v>
      </c>
      <c r="AH348" s="0" t="s">
        <v>58</v>
      </c>
    </row>
    <row r="349" customFormat="false" ht="15" hidden="false" customHeight="true" outlineLevel="0" collapsed="false">
      <c r="A349" s="0" t="n">
        <v>122</v>
      </c>
      <c r="B349" s="0" t="s">
        <v>1745</v>
      </c>
      <c r="C349" s="0" t="s">
        <v>471</v>
      </c>
      <c r="D349" s="0" t="s">
        <v>472</v>
      </c>
      <c r="E349" s="0" t="s">
        <v>1512</v>
      </c>
      <c r="F349" s="0" t="n">
        <v>3474</v>
      </c>
      <c r="G349" s="0" t="s">
        <v>138</v>
      </c>
      <c r="H349" s="0" t="n">
        <v>160</v>
      </c>
      <c r="I349" s="0" t="n">
        <v>218</v>
      </c>
      <c r="J349" s="0" t="n">
        <v>215</v>
      </c>
      <c r="K349" s="0" t="n">
        <v>65</v>
      </c>
      <c r="L349" s="0" t="n">
        <v>208</v>
      </c>
      <c r="M349" s="0" t="n">
        <v>0</v>
      </c>
      <c r="N349" s="0" t="n">
        <v>10</v>
      </c>
      <c r="O349" s="0" t="n">
        <v>0</v>
      </c>
      <c r="P349" s="0" t="n">
        <v>25</v>
      </c>
      <c r="Q349" s="114" t="n">
        <v>72</v>
      </c>
      <c r="R349" s="114" t="n">
        <v>116</v>
      </c>
      <c r="S349" s="114" t="n">
        <v>1.45</v>
      </c>
      <c r="T349" s="114" t="n">
        <v>1.6</v>
      </c>
      <c r="U349" s="114" t="n">
        <v>1</v>
      </c>
      <c r="V349" s="114" t="n">
        <v>0</v>
      </c>
      <c r="W349" s="0" t="s">
        <v>1649</v>
      </c>
      <c r="X349" s="114" t="s">
        <v>58</v>
      </c>
      <c r="Y349" s="114" t="s">
        <v>58</v>
      </c>
      <c r="Z349" s="114" t="s">
        <v>58</v>
      </c>
      <c r="AA349" s="0" t="s">
        <v>1742</v>
      </c>
      <c r="AB349" s="0" t="s">
        <v>1650</v>
      </c>
      <c r="AC349" s="0" t="s">
        <v>58</v>
      </c>
      <c r="AD349" s="0" t="s">
        <v>58</v>
      </c>
      <c r="AE349" s="0" t="s">
        <v>1744</v>
      </c>
      <c r="AF349" s="0" t="s">
        <v>464</v>
      </c>
      <c r="AG349" s="0" t="s">
        <v>58</v>
      </c>
      <c r="AH349" s="0" t="s">
        <v>58</v>
      </c>
    </row>
    <row r="350" customFormat="false" ht="15" hidden="false" customHeight="true" outlineLevel="0" collapsed="false">
      <c r="A350" s="0" t="n">
        <v>3122</v>
      </c>
      <c r="B350" s="0" t="s">
        <v>1746</v>
      </c>
      <c r="C350" s="0" t="s">
        <v>471</v>
      </c>
      <c r="D350" s="0" t="s">
        <v>438</v>
      </c>
      <c r="E350" s="0" t="s">
        <v>1512</v>
      </c>
      <c r="F350" s="0" t="n">
        <v>3754</v>
      </c>
      <c r="G350" s="0" t="s">
        <v>138</v>
      </c>
      <c r="H350" s="0" t="n">
        <v>165</v>
      </c>
      <c r="I350" s="0" t="n">
        <v>273</v>
      </c>
      <c r="J350" s="0" t="n">
        <v>245</v>
      </c>
      <c r="K350" s="0" t="n">
        <v>65</v>
      </c>
      <c r="L350" s="0" t="n">
        <v>208</v>
      </c>
      <c r="M350" s="0" t="n">
        <v>0</v>
      </c>
      <c r="N350" s="0" t="n">
        <v>10</v>
      </c>
      <c r="O350" s="0" t="n">
        <v>0</v>
      </c>
      <c r="P350" s="0" t="n">
        <v>25</v>
      </c>
      <c r="Q350" s="114" t="n">
        <v>72</v>
      </c>
      <c r="R350" s="114" t="n">
        <v>116</v>
      </c>
      <c r="S350" s="114" t="n">
        <v>1.6</v>
      </c>
      <c r="T350" s="114" t="n">
        <v>1.65</v>
      </c>
      <c r="U350" s="114" t="n">
        <v>1</v>
      </c>
      <c r="V350" s="114" t="n">
        <v>0</v>
      </c>
      <c r="W350" s="0" t="s">
        <v>1649</v>
      </c>
      <c r="X350" s="114" t="s">
        <v>58</v>
      </c>
      <c r="Y350" s="114" t="s">
        <v>58</v>
      </c>
      <c r="Z350" s="114" t="s">
        <v>58</v>
      </c>
      <c r="AA350" s="0" t="s">
        <v>1742</v>
      </c>
      <c r="AB350" s="0" t="s">
        <v>590</v>
      </c>
      <c r="AC350" s="0" t="s">
        <v>1650</v>
      </c>
      <c r="AD350" s="0" t="s">
        <v>58</v>
      </c>
      <c r="AE350" s="0" t="s">
        <v>1744</v>
      </c>
      <c r="AF350" s="0" t="s">
        <v>592</v>
      </c>
      <c r="AG350" s="0" t="s">
        <v>464</v>
      </c>
      <c r="AH350" s="0" t="s">
        <v>58</v>
      </c>
    </row>
    <row r="351" customFormat="false" ht="15" hidden="false" customHeight="true" outlineLevel="0" collapsed="false">
      <c r="A351" s="0" t="n">
        <v>337</v>
      </c>
      <c r="B351" s="0" t="s">
        <v>1747</v>
      </c>
      <c r="C351" s="0" t="s">
        <v>471</v>
      </c>
      <c r="D351" s="0" t="s">
        <v>472</v>
      </c>
      <c r="E351" s="0" t="s">
        <v>1512</v>
      </c>
      <c r="F351" s="0" t="n">
        <v>3461</v>
      </c>
      <c r="G351" s="0" t="s">
        <v>138</v>
      </c>
      <c r="H351" s="0" t="n">
        <v>160</v>
      </c>
      <c r="I351" s="0" t="n">
        <v>203</v>
      </c>
      <c r="J351" s="0" t="n">
        <v>215</v>
      </c>
      <c r="K351" s="0" t="n">
        <v>71</v>
      </c>
      <c r="L351" s="0" t="n">
        <v>255</v>
      </c>
      <c r="M351" s="0" t="n">
        <v>0</v>
      </c>
      <c r="N351" s="0" t="n">
        <v>10</v>
      </c>
      <c r="O351" s="0" t="n">
        <v>0</v>
      </c>
      <c r="P351" s="0" t="n">
        <v>25</v>
      </c>
      <c r="Q351" s="114" t="n">
        <v>68</v>
      </c>
      <c r="R351" s="114" t="n">
        <v>116</v>
      </c>
      <c r="S351" s="114" t="n">
        <v>1.45</v>
      </c>
      <c r="T351" s="114" t="n">
        <v>1.6</v>
      </c>
      <c r="U351" s="114" t="n">
        <v>1</v>
      </c>
      <c r="V351" s="114" t="n">
        <v>0</v>
      </c>
      <c r="W351" s="0" t="s">
        <v>1667</v>
      </c>
      <c r="X351" s="114" t="s">
        <v>58</v>
      </c>
      <c r="Y351" s="114" t="s">
        <v>58</v>
      </c>
      <c r="Z351" s="114" t="s">
        <v>58</v>
      </c>
      <c r="AA351" s="0" t="s">
        <v>1742</v>
      </c>
      <c r="AB351" s="0" t="s">
        <v>1743</v>
      </c>
      <c r="AC351" s="0" t="s">
        <v>58</v>
      </c>
      <c r="AD351" s="0" t="s">
        <v>58</v>
      </c>
      <c r="AE351" s="0" t="s">
        <v>1744</v>
      </c>
      <c r="AF351" s="0" t="s">
        <v>464</v>
      </c>
      <c r="AG351" s="0" t="s">
        <v>58</v>
      </c>
      <c r="AH351" s="0" t="s">
        <v>58</v>
      </c>
    </row>
    <row r="352" customFormat="false" ht="15" hidden="false" customHeight="true" outlineLevel="0" collapsed="false">
      <c r="A352" s="0" t="n">
        <v>382</v>
      </c>
      <c r="B352" s="0" t="s">
        <v>1748</v>
      </c>
      <c r="C352" s="0" t="s">
        <v>429</v>
      </c>
      <c r="D352" s="0" t="s">
        <v>438</v>
      </c>
      <c r="E352" s="0" t="s">
        <v>394</v>
      </c>
      <c r="F352" s="0" t="n">
        <v>4176</v>
      </c>
      <c r="G352" s="0" t="s">
        <v>140</v>
      </c>
      <c r="H352" s="0" t="n">
        <v>179</v>
      </c>
      <c r="I352" s="0" t="n">
        <v>237</v>
      </c>
      <c r="J352" s="0" t="n">
        <v>212</v>
      </c>
      <c r="K352" s="0" t="n">
        <v>80</v>
      </c>
      <c r="L352" s="0" t="n">
        <v>209</v>
      </c>
      <c r="M352" s="0" t="n">
        <v>0</v>
      </c>
      <c r="N352" s="0" t="n">
        <v>11</v>
      </c>
      <c r="O352" s="0" t="n">
        <v>0</v>
      </c>
      <c r="P352" s="0" t="n">
        <v>28</v>
      </c>
      <c r="Q352" s="114" t="n">
        <v>15</v>
      </c>
      <c r="R352" s="114" t="n">
        <v>129</v>
      </c>
      <c r="S352" s="114" t="n">
        <v>1.35</v>
      </c>
      <c r="T352" s="114" t="n">
        <v>1.45</v>
      </c>
      <c r="U352" s="114" t="n">
        <v>1.1</v>
      </c>
      <c r="V352" s="114" t="n">
        <v>0</v>
      </c>
      <c r="W352" s="0" t="s">
        <v>1749</v>
      </c>
      <c r="X352" s="0" t="s">
        <v>1750</v>
      </c>
      <c r="Y352" s="0" t="s">
        <v>1751</v>
      </c>
      <c r="Z352" s="114" t="s">
        <v>58</v>
      </c>
      <c r="AA352" s="0" t="s">
        <v>1752</v>
      </c>
      <c r="AB352" s="0" t="s">
        <v>1354</v>
      </c>
      <c r="AC352" s="0" t="s">
        <v>1753</v>
      </c>
      <c r="AD352" s="0" t="s">
        <v>58</v>
      </c>
      <c r="AE352" s="0" t="s">
        <v>1754</v>
      </c>
      <c r="AF352" s="0" t="s">
        <v>1356</v>
      </c>
      <c r="AG352" s="0" t="s">
        <v>464</v>
      </c>
      <c r="AH352" s="0" t="s">
        <v>58</v>
      </c>
    </row>
    <row r="353" customFormat="false" ht="15" hidden="false" customHeight="true" outlineLevel="0" collapsed="false">
      <c r="A353" s="0" t="n">
        <v>200</v>
      </c>
      <c r="B353" s="0" t="s">
        <v>1755</v>
      </c>
      <c r="C353" s="0" t="s">
        <v>429</v>
      </c>
      <c r="D353" s="0" t="s">
        <v>430</v>
      </c>
      <c r="E353" s="0" t="s">
        <v>1512</v>
      </c>
      <c r="F353" s="0" t="n">
        <v>4295</v>
      </c>
      <c r="G353" s="0" t="s">
        <v>140</v>
      </c>
      <c r="H353" s="0" t="n">
        <v>175</v>
      </c>
      <c r="I353" s="0" t="n">
        <v>270</v>
      </c>
      <c r="J353" s="0" t="n">
        <v>245</v>
      </c>
      <c r="K353" s="0" t="n">
        <v>79</v>
      </c>
      <c r="L353" s="0" t="n">
        <v>178</v>
      </c>
      <c r="M353" s="0" t="n">
        <v>0</v>
      </c>
      <c r="N353" s="0" t="n">
        <v>12</v>
      </c>
      <c r="O353" s="0" t="n">
        <v>0</v>
      </c>
      <c r="P353" s="0" t="n">
        <v>31</v>
      </c>
      <c r="Q353" s="114" t="n">
        <v>65</v>
      </c>
      <c r="R353" s="114" t="n">
        <v>134</v>
      </c>
      <c r="S353" s="114" t="n">
        <v>1.25</v>
      </c>
      <c r="T353" s="114" t="n">
        <v>1.75</v>
      </c>
      <c r="U353" s="114" t="n">
        <v>1</v>
      </c>
      <c r="V353" s="114" t="n">
        <v>0</v>
      </c>
      <c r="W353" s="0" t="s">
        <v>1551</v>
      </c>
      <c r="X353" s="114" t="s">
        <v>58</v>
      </c>
      <c r="Y353" s="114" t="s">
        <v>58</v>
      </c>
      <c r="Z353" s="114" t="s">
        <v>58</v>
      </c>
      <c r="AA353" s="0" t="s">
        <v>1594</v>
      </c>
      <c r="AB353" s="0" t="s">
        <v>518</v>
      </c>
      <c r="AC353" s="0" t="s">
        <v>1595</v>
      </c>
      <c r="AD353" s="0" t="s">
        <v>58</v>
      </c>
      <c r="AE353" s="0" t="s">
        <v>1591</v>
      </c>
      <c r="AF353" s="0" t="s">
        <v>520</v>
      </c>
      <c r="AG353" s="0" t="s">
        <v>464</v>
      </c>
      <c r="AH353" s="0" t="s">
        <v>58</v>
      </c>
    </row>
    <row r="354" customFormat="false" ht="15" hidden="false" customHeight="true" outlineLevel="0" collapsed="false">
      <c r="A354" s="0" t="n">
        <v>414</v>
      </c>
      <c r="B354" s="0" t="s">
        <v>1756</v>
      </c>
      <c r="C354" s="0" t="s">
        <v>571</v>
      </c>
      <c r="D354" s="0" t="s">
        <v>472</v>
      </c>
      <c r="E354" s="0" t="s">
        <v>394</v>
      </c>
      <c r="F354" s="0" t="n">
        <v>3544</v>
      </c>
      <c r="G354" s="0" t="s">
        <v>140</v>
      </c>
      <c r="H354" s="0" t="n">
        <v>160</v>
      </c>
      <c r="I354" s="0" t="n">
        <v>232</v>
      </c>
      <c r="J354" s="0" t="n">
        <v>184</v>
      </c>
      <c r="K354" s="0" t="n">
        <v>71</v>
      </c>
      <c r="L354" s="0" t="n">
        <v>186</v>
      </c>
      <c r="M354" s="0" t="n">
        <v>0</v>
      </c>
      <c r="N354" s="0" t="n">
        <v>10</v>
      </c>
      <c r="O354" s="0" t="n">
        <v>0</v>
      </c>
      <c r="P354" s="0" t="n">
        <v>28</v>
      </c>
      <c r="Q354" s="0" t="n">
        <v>42</v>
      </c>
      <c r="R354" s="0" t="n">
        <v>118</v>
      </c>
      <c r="S354" s="114" t="n">
        <v>1.3</v>
      </c>
      <c r="T354" s="114" t="n">
        <v>1.65</v>
      </c>
      <c r="U354" s="114" t="n">
        <v>1</v>
      </c>
      <c r="V354" s="114" t="n">
        <v>0</v>
      </c>
      <c r="W354" s="114" t="s">
        <v>1757</v>
      </c>
      <c r="X354" s="114" t="s">
        <v>58</v>
      </c>
      <c r="Y354" s="114" t="s">
        <v>58</v>
      </c>
      <c r="Z354" s="114" t="s">
        <v>58</v>
      </c>
      <c r="AA354" s="0" t="s">
        <v>826</v>
      </c>
      <c r="AB354" s="0" t="s">
        <v>1758</v>
      </c>
      <c r="AC354" s="0" t="s">
        <v>58</v>
      </c>
      <c r="AD354" s="0" t="s">
        <v>58</v>
      </c>
      <c r="AE354" s="0" t="s">
        <v>592</v>
      </c>
      <c r="AF354" s="0" t="s">
        <v>464</v>
      </c>
      <c r="AG354" s="0" t="s">
        <v>58</v>
      </c>
      <c r="AH354" s="0" t="s">
        <v>58</v>
      </c>
    </row>
    <row r="355" customFormat="false" ht="15" hidden="false" customHeight="true" outlineLevel="0" collapsed="false">
      <c r="A355" s="0" t="n">
        <v>48</v>
      </c>
      <c r="B355" s="0" t="s">
        <v>1759</v>
      </c>
      <c r="C355" s="0" t="s">
        <v>437</v>
      </c>
      <c r="D355" s="0" t="s">
        <v>438</v>
      </c>
      <c r="E355" s="0" t="s">
        <v>1512</v>
      </c>
      <c r="F355" s="0" t="n">
        <v>4015</v>
      </c>
      <c r="G355" s="0" t="s">
        <v>140</v>
      </c>
      <c r="H355" s="0" t="n">
        <v>161</v>
      </c>
      <c r="I355" s="0" t="n">
        <v>218</v>
      </c>
      <c r="J355" s="0" t="n">
        <v>0</v>
      </c>
      <c r="K355" s="0" t="n">
        <v>57</v>
      </c>
      <c r="L355" s="0" t="n">
        <v>230</v>
      </c>
      <c r="M355" s="0" t="n">
        <v>0</v>
      </c>
      <c r="N355" s="0" t="n">
        <v>11</v>
      </c>
      <c r="O355" s="0" t="n">
        <v>0</v>
      </c>
      <c r="P355" s="0" t="n">
        <v>26</v>
      </c>
      <c r="Q355" s="114" t="n">
        <v>12</v>
      </c>
      <c r="R355" s="114" t="n">
        <v>122</v>
      </c>
      <c r="S355" s="114" t="n">
        <v>1.15</v>
      </c>
      <c r="T355" s="114" t="n">
        <v>0.6</v>
      </c>
      <c r="U355" s="114" t="n">
        <v>1.3</v>
      </c>
      <c r="V355" s="114" t="n">
        <v>0</v>
      </c>
      <c r="W355" s="0" t="s">
        <v>1544</v>
      </c>
      <c r="X355" s="114" t="s">
        <v>58</v>
      </c>
      <c r="Y355" s="114" t="s">
        <v>58</v>
      </c>
      <c r="Z355" s="114" t="s">
        <v>58</v>
      </c>
      <c r="AA355" s="0" t="s">
        <v>590</v>
      </c>
      <c r="AB355" s="0" t="s">
        <v>1546</v>
      </c>
      <c r="AC355" s="0" t="s">
        <v>1547</v>
      </c>
      <c r="AD355" s="0" t="s">
        <v>58</v>
      </c>
      <c r="AE355" s="0" t="s">
        <v>592</v>
      </c>
      <c r="AF355" s="0" t="s">
        <v>1549</v>
      </c>
      <c r="AG355" s="0" t="s">
        <v>464</v>
      </c>
      <c r="AH355" s="0" t="s">
        <v>58</v>
      </c>
    </row>
    <row r="356" customFormat="false" ht="15" hidden="false" customHeight="true" outlineLevel="0" collapsed="false">
      <c r="A356" s="0" t="n">
        <v>49</v>
      </c>
      <c r="B356" s="0" t="s">
        <v>1760</v>
      </c>
      <c r="C356" s="0" t="s">
        <v>437</v>
      </c>
      <c r="D356" s="0" t="s">
        <v>438</v>
      </c>
      <c r="E356" s="0" t="s">
        <v>1512</v>
      </c>
      <c r="F356" s="0" t="n">
        <v>3709</v>
      </c>
      <c r="G356" s="0" t="s">
        <v>138</v>
      </c>
      <c r="H356" s="0" t="n">
        <v>179</v>
      </c>
      <c r="I356" s="0" t="n">
        <v>267</v>
      </c>
      <c r="J356" s="0" t="n">
        <v>0</v>
      </c>
      <c r="K356" s="0" t="n">
        <v>50</v>
      </c>
      <c r="L356" s="0" t="n">
        <v>222</v>
      </c>
      <c r="M356" s="0" t="n">
        <v>0</v>
      </c>
      <c r="N356" s="0" t="n">
        <v>11</v>
      </c>
      <c r="O356" s="0" t="n">
        <v>0</v>
      </c>
      <c r="P356" s="0" t="n">
        <v>26</v>
      </c>
      <c r="Q356" s="114" t="n">
        <v>70</v>
      </c>
      <c r="R356" s="114" t="n">
        <v>131</v>
      </c>
      <c r="S356" s="114" t="n">
        <v>1.3</v>
      </c>
      <c r="T356" s="114" t="n">
        <v>0.55</v>
      </c>
      <c r="U356" s="114" t="n">
        <v>1.05</v>
      </c>
      <c r="V356" s="114" t="n">
        <v>0</v>
      </c>
      <c r="W356" s="0" t="s">
        <v>1761</v>
      </c>
      <c r="X356" s="114" t="s">
        <v>58</v>
      </c>
      <c r="Y356" s="114" t="s">
        <v>58</v>
      </c>
      <c r="Z356" s="114" t="s">
        <v>58</v>
      </c>
      <c r="AA356" s="0" t="s">
        <v>1704</v>
      </c>
      <c r="AB356" s="0" t="s">
        <v>1742</v>
      </c>
      <c r="AC356" s="0" t="s">
        <v>1762</v>
      </c>
      <c r="AD356" s="0" t="s">
        <v>58</v>
      </c>
      <c r="AE356" s="0" t="s">
        <v>1196</v>
      </c>
      <c r="AF356" s="0" t="s">
        <v>1744</v>
      </c>
      <c r="AG356" s="0" t="s">
        <v>464</v>
      </c>
      <c r="AH356" s="0" t="s">
        <v>58</v>
      </c>
    </row>
    <row r="357" customFormat="false" ht="15" hidden="false" customHeight="true" outlineLevel="0" collapsed="false">
      <c r="A357" s="0" t="n">
        <v>125</v>
      </c>
      <c r="B357" s="0" t="s">
        <v>1763</v>
      </c>
      <c r="C357" s="0" t="s">
        <v>471</v>
      </c>
      <c r="D357" s="0" t="s">
        <v>438</v>
      </c>
      <c r="E357" s="0" t="s">
        <v>1512</v>
      </c>
      <c r="F357" s="0" t="n">
        <v>3676</v>
      </c>
      <c r="G357" s="0" t="s">
        <v>140</v>
      </c>
      <c r="H357" s="0" t="n">
        <v>176</v>
      </c>
      <c r="I357" s="0" t="n">
        <v>226</v>
      </c>
      <c r="J357" s="0" t="n">
        <v>193</v>
      </c>
      <c r="K357" s="0" t="n">
        <v>72</v>
      </c>
      <c r="L357" s="0" t="n">
        <v>243</v>
      </c>
      <c r="M357" s="0" t="n">
        <v>0</v>
      </c>
      <c r="N357" s="0" t="n">
        <v>11</v>
      </c>
      <c r="O357" s="0" t="n">
        <v>0</v>
      </c>
      <c r="P357" s="0" t="n">
        <v>25</v>
      </c>
      <c r="Q357" s="114" t="n">
        <v>15</v>
      </c>
      <c r="R357" s="114" t="n">
        <v>130</v>
      </c>
      <c r="S357" s="114" t="n">
        <v>1.4</v>
      </c>
      <c r="T357" s="114" t="n">
        <v>1.65</v>
      </c>
      <c r="U357" s="114" t="n">
        <v>1</v>
      </c>
      <c r="V357" s="114" t="n">
        <v>0</v>
      </c>
      <c r="W357" s="0" t="s">
        <v>1617</v>
      </c>
      <c r="X357" s="114" t="s">
        <v>58</v>
      </c>
      <c r="Y357" s="114" t="s">
        <v>58</v>
      </c>
      <c r="Z357" s="114" t="s">
        <v>58</v>
      </c>
      <c r="AA357" s="0" t="s">
        <v>1764</v>
      </c>
      <c r="AB357" s="0" t="s">
        <v>1619</v>
      </c>
      <c r="AC357" s="0" t="s">
        <v>58</v>
      </c>
      <c r="AD357" s="0" t="s">
        <v>58</v>
      </c>
      <c r="AE357" s="0" t="s">
        <v>1765</v>
      </c>
      <c r="AF357" s="0" t="s">
        <v>464</v>
      </c>
      <c r="AG357" s="0" t="s">
        <v>58</v>
      </c>
      <c r="AH357" s="0" t="s">
        <v>58</v>
      </c>
    </row>
    <row r="358" customFormat="false" ht="15" hidden="false" customHeight="true" outlineLevel="0" collapsed="false">
      <c r="A358" s="0" t="n">
        <v>3125</v>
      </c>
      <c r="B358" s="0" t="s">
        <v>1766</v>
      </c>
      <c r="C358" s="0" t="s">
        <v>471</v>
      </c>
      <c r="D358" s="0" t="s">
        <v>430</v>
      </c>
      <c r="E358" s="0" t="s">
        <v>1512</v>
      </c>
      <c r="F358" s="0" t="n">
        <v>3916</v>
      </c>
      <c r="G358" s="0" t="s">
        <v>140</v>
      </c>
      <c r="H358" s="0" t="n">
        <v>191</v>
      </c>
      <c r="I358" s="0" t="n">
        <v>286</v>
      </c>
      <c r="J358" s="0" t="n">
        <v>193</v>
      </c>
      <c r="K358" s="0" t="n">
        <v>92</v>
      </c>
      <c r="L358" s="0" t="n">
        <v>258</v>
      </c>
      <c r="M358" s="0" t="n">
        <v>0</v>
      </c>
      <c r="N358" s="0" t="n">
        <v>11</v>
      </c>
      <c r="O358" s="0" t="n">
        <v>0</v>
      </c>
      <c r="P358" s="0" t="n">
        <v>25</v>
      </c>
      <c r="Q358" s="114" t="n">
        <v>15</v>
      </c>
      <c r="R358" s="114" t="n">
        <v>130</v>
      </c>
      <c r="S358" s="114" t="n">
        <v>1.55</v>
      </c>
      <c r="T358" s="114" t="n">
        <v>1.65</v>
      </c>
      <c r="U358" s="114" t="n">
        <v>1.05</v>
      </c>
      <c r="V358" s="114" t="n">
        <v>0</v>
      </c>
      <c r="W358" s="0" t="s">
        <v>1617</v>
      </c>
      <c r="X358" s="114" t="s">
        <v>58</v>
      </c>
      <c r="Y358" s="114" t="s">
        <v>58</v>
      </c>
      <c r="Z358" s="114" t="s">
        <v>58</v>
      </c>
      <c r="AA358" s="0" t="s">
        <v>1764</v>
      </c>
      <c r="AB358" s="0" t="s">
        <v>1767</v>
      </c>
      <c r="AC358" s="0" t="s">
        <v>1619</v>
      </c>
      <c r="AD358" s="0" t="s">
        <v>58</v>
      </c>
      <c r="AE358" s="0" t="s">
        <v>1765</v>
      </c>
      <c r="AF358" s="0" t="s">
        <v>1768</v>
      </c>
      <c r="AG358" s="0" t="s">
        <v>464</v>
      </c>
      <c r="AH358" s="0" t="s">
        <v>58</v>
      </c>
    </row>
    <row r="359" customFormat="false" ht="15" hidden="false" customHeight="true" outlineLevel="0" collapsed="false">
      <c r="A359" s="0" t="n">
        <v>413</v>
      </c>
      <c r="B359" s="0" t="s">
        <v>1769</v>
      </c>
      <c r="C359" s="0" t="s">
        <v>571</v>
      </c>
      <c r="D359" s="0" t="s">
        <v>430</v>
      </c>
      <c r="E359" s="0" t="s">
        <v>394</v>
      </c>
      <c r="F359" s="0" t="n">
        <v>4941</v>
      </c>
      <c r="G359" s="0" t="s">
        <v>140</v>
      </c>
      <c r="H359" s="0" t="n">
        <v>182</v>
      </c>
      <c r="I359" s="0" t="n">
        <v>252</v>
      </c>
      <c r="J359" s="0" t="n">
        <v>0</v>
      </c>
      <c r="K359" s="0" t="n">
        <v>57</v>
      </c>
      <c r="L359" s="0" t="n">
        <v>229</v>
      </c>
      <c r="M359" s="0" t="n">
        <v>0</v>
      </c>
      <c r="N359" s="0" t="n">
        <v>12</v>
      </c>
      <c r="O359" s="0" t="n">
        <v>0</v>
      </c>
      <c r="P359" s="0" t="n">
        <v>26</v>
      </c>
      <c r="Q359" s="0" t="n">
        <v>75</v>
      </c>
      <c r="R359" s="0" t="n">
        <v>118</v>
      </c>
      <c r="S359" s="114" t="n">
        <v>1.2</v>
      </c>
      <c r="T359" s="114" t="n">
        <v>0.55</v>
      </c>
      <c r="U359" s="114" t="n">
        <v>1</v>
      </c>
      <c r="V359" s="114" t="n">
        <v>0</v>
      </c>
      <c r="W359" s="114" t="s">
        <v>1770</v>
      </c>
      <c r="X359" s="114" t="s">
        <v>58</v>
      </c>
      <c r="Y359" s="114" t="s">
        <v>58</v>
      </c>
      <c r="Z359" s="114" t="s">
        <v>58</v>
      </c>
      <c r="AA359" s="0" t="s">
        <v>1771</v>
      </c>
      <c r="AB359" s="0" t="s">
        <v>1772</v>
      </c>
      <c r="AC359" s="0" t="s">
        <v>1773</v>
      </c>
      <c r="AD359" s="0" t="s">
        <v>58</v>
      </c>
      <c r="AE359" s="0" t="s">
        <v>1774</v>
      </c>
      <c r="AF359" s="0" t="s">
        <v>1775</v>
      </c>
      <c r="AG359" s="0" t="s">
        <v>464</v>
      </c>
      <c r="AH359" s="0" t="s">
        <v>58</v>
      </c>
    </row>
    <row r="360" customFormat="false" ht="14.4" hidden="false" customHeight="false" outlineLevel="0" collapsed="false">
      <c r="A360" s="156"/>
      <c r="B360" s="156"/>
      <c r="C360" s="156"/>
      <c r="D360" s="156"/>
      <c r="E360" s="156"/>
      <c r="F360" s="156"/>
      <c r="G360" s="156"/>
      <c r="H360" s="156"/>
      <c r="I360" s="156"/>
      <c r="J360" s="156"/>
      <c r="K360" s="156"/>
      <c r="L360" s="156"/>
      <c r="M360" s="156"/>
      <c r="N360" s="156"/>
      <c r="O360" s="156"/>
      <c r="P360" s="156"/>
      <c r="Q360" s="156"/>
      <c r="R360" s="156"/>
      <c r="S360" s="157"/>
      <c r="T360" s="157"/>
      <c r="U360" s="157"/>
      <c r="V360" s="158"/>
      <c r="W360" s="158"/>
      <c r="X360" s="158"/>
      <c r="Y360" s="158"/>
      <c r="Z360" s="158"/>
    </row>
    <row r="361" customFormat="false" ht="14.4" hidden="false" customHeight="false" outlineLevel="0" collapsed="false">
      <c r="A361" s="144" t="s">
        <v>415</v>
      </c>
      <c r="B361" s="144" t="s">
        <v>97</v>
      </c>
      <c r="C361" s="144" t="s">
        <v>139</v>
      </c>
      <c r="D361" s="144" t="s">
        <v>416</v>
      </c>
      <c r="E361" s="144" t="s">
        <v>96</v>
      </c>
      <c r="F361" s="144" t="s">
        <v>45</v>
      </c>
      <c r="G361" s="144" t="s">
        <v>417</v>
      </c>
      <c r="H361" s="144" t="s">
        <v>100</v>
      </c>
      <c r="I361" s="144" t="s">
        <v>98</v>
      </c>
      <c r="J361" s="144" t="s">
        <v>99</v>
      </c>
      <c r="K361" s="144" t="s">
        <v>46</v>
      </c>
      <c r="L361" s="144" t="s">
        <v>50</v>
      </c>
      <c r="M361" s="144" t="s">
        <v>262</v>
      </c>
      <c r="N361" s="144" t="s">
        <v>418</v>
      </c>
      <c r="O361" s="144" t="s">
        <v>105</v>
      </c>
      <c r="P361" s="144" t="s">
        <v>419</v>
      </c>
      <c r="Q361" s="145" t="s">
        <v>420</v>
      </c>
      <c r="R361" s="145" t="s">
        <v>421</v>
      </c>
      <c r="S361" s="145" t="s">
        <v>151</v>
      </c>
      <c r="T361" s="145" t="s">
        <v>155</v>
      </c>
      <c r="U361" s="145" t="s">
        <v>1776</v>
      </c>
      <c r="V361" s="150" t="s">
        <v>1777</v>
      </c>
      <c r="W361" s="150" t="s">
        <v>1778</v>
      </c>
      <c r="X361" s="150" t="s">
        <v>1779</v>
      </c>
      <c r="Y361" s="150" t="s">
        <v>380</v>
      </c>
      <c r="Z361" s="150" t="s">
        <v>382</v>
      </c>
      <c r="AA361" s="150" t="s">
        <v>441</v>
      </c>
      <c r="AB361" s="150" t="s">
        <v>452</v>
      </c>
      <c r="AC361" s="150" t="s">
        <v>453</v>
      </c>
      <c r="AD361" s="150" t="s">
        <v>454</v>
      </c>
      <c r="AE361" s="150" t="s">
        <v>1780</v>
      </c>
      <c r="AF361" s="150" t="s">
        <v>1781</v>
      </c>
      <c r="AG361" s="150" t="s">
        <v>1782</v>
      </c>
      <c r="AH361" s="150" t="s">
        <v>422</v>
      </c>
      <c r="AI361" s="150" t="s">
        <v>423</v>
      </c>
      <c r="AJ361" s="150" t="s">
        <v>424</v>
      </c>
      <c r="AK361" s="150" t="s">
        <v>455</v>
      </c>
      <c r="AL361" s="150" t="s">
        <v>425</v>
      </c>
      <c r="AM361" s="150" t="s">
        <v>426</v>
      </c>
      <c r="AN361" s="150" t="s">
        <v>427</v>
      </c>
      <c r="AO361" s="150" t="s">
        <v>456</v>
      </c>
    </row>
    <row r="362" customFormat="false" ht="14.4" hidden="false" customHeight="false" outlineLevel="0" collapsed="false">
      <c r="A362" s="0" t="n">
        <v>336</v>
      </c>
      <c r="B362" s="0" t="s">
        <v>1783</v>
      </c>
      <c r="C362" s="0" t="s">
        <v>471</v>
      </c>
      <c r="D362" s="0" t="s">
        <v>438</v>
      </c>
      <c r="E362" s="0" t="s">
        <v>1784</v>
      </c>
      <c r="F362" s="0" t="n">
        <v>3777</v>
      </c>
      <c r="G362" s="0" t="s">
        <v>138</v>
      </c>
      <c r="H362" s="0" t="n">
        <v>148</v>
      </c>
      <c r="I362" s="0" t="n">
        <v>286</v>
      </c>
      <c r="J362" s="0" t="n">
        <v>0</v>
      </c>
      <c r="K362" s="0" t="n">
        <v>61</v>
      </c>
      <c r="L362" s="0" t="n">
        <v>182</v>
      </c>
      <c r="M362" s="0" t="n">
        <v>0</v>
      </c>
      <c r="N362" s="0" t="n">
        <v>10</v>
      </c>
      <c r="O362" s="0" t="n">
        <v>0</v>
      </c>
      <c r="P362" s="0" t="n">
        <v>12</v>
      </c>
      <c r="Q362" s="114" t="n">
        <v>38</v>
      </c>
      <c r="R362" s="0" t="n">
        <v>81</v>
      </c>
      <c r="S362" s="114" t="n">
        <v>1.2</v>
      </c>
      <c r="T362" s="114" t="n">
        <v>2.05</v>
      </c>
      <c r="U362" s="114" t="s">
        <v>58</v>
      </c>
      <c r="V362" s="0" t="s">
        <v>58</v>
      </c>
      <c r="W362" s="0" t="s">
        <v>58</v>
      </c>
      <c r="X362" s="0" t="s">
        <v>58</v>
      </c>
      <c r="Y362" s="114" t="n">
        <v>1</v>
      </c>
      <c r="Z362" s="114" t="n">
        <v>0</v>
      </c>
      <c r="AA362" s="0" t="s">
        <v>1785</v>
      </c>
      <c r="AB362" s="0" t="s">
        <v>1785</v>
      </c>
      <c r="AC362" s="114" t="s">
        <v>58</v>
      </c>
      <c r="AD362" s="114" t="s">
        <v>58</v>
      </c>
      <c r="AE362" s="114" t="s">
        <v>58</v>
      </c>
      <c r="AF362" s="114" t="s">
        <v>58</v>
      </c>
      <c r="AG362" s="114" t="s">
        <v>58</v>
      </c>
      <c r="AH362" s="0" t="s">
        <v>1786</v>
      </c>
      <c r="AI362" s="0" t="s">
        <v>58</v>
      </c>
      <c r="AJ362" s="114" t="s">
        <v>58</v>
      </c>
      <c r="AK362" s="114" t="s">
        <v>58</v>
      </c>
      <c r="AL362" s="0" t="s">
        <v>1785</v>
      </c>
      <c r="AM362" s="0" t="s">
        <v>58</v>
      </c>
      <c r="AN362" s="114" t="s">
        <v>58</v>
      </c>
      <c r="AO362" s="114" t="s">
        <v>58</v>
      </c>
    </row>
    <row r="363" customFormat="false" ht="14.4" hidden="false" customHeight="false" outlineLevel="0" collapsed="false">
      <c r="A363" s="0" t="n">
        <v>401</v>
      </c>
      <c r="B363" s="0" t="s">
        <v>1787</v>
      </c>
      <c r="C363" s="0" t="s">
        <v>437</v>
      </c>
      <c r="D363" s="0" t="s">
        <v>430</v>
      </c>
      <c r="E363" s="0" t="s">
        <v>114</v>
      </c>
      <c r="F363" s="0" t="n">
        <v>7783</v>
      </c>
      <c r="G363" s="0" t="s">
        <v>142</v>
      </c>
      <c r="H363" s="0" t="n">
        <v>154</v>
      </c>
      <c r="I363" s="0" t="n">
        <v>417</v>
      </c>
      <c r="J363" s="0" t="n">
        <v>0</v>
      </c>
      <c r="K363" s="0" t="n">
        <v>33</v>
      </c>
      <c r="L363" s="0" t="n">
        <v>400</v>
      </c>
      <c r="M363" s="0" t="n">
        <v>0</v>
      </c>
      <c r="N363" s="0" t="n">
        <v>15</v>
      </c>
      <c r="O363" s="0" t="n">
        <v>0</v>
      </c>
      <c r="P363" s="0" t="n">
        <v>27</v>
      </c>
      <c r="Q363" s="0" t="n">
        <v>86</v>
      </c>
      <c r="R363" s="0" t="n">
        <v>64</v>
      </c>
      <c r="S363" s="114" t="n">
        <v>1.3</v>
      </c>
      <c r="T363" s="114" t="n">
        <v>2</v>
      </c>
      <c r="U363" s="114" t="s">
        <v>58</v>
      </c>
      <c r="V363" s="114" t="s">
        <v>58</v>
      </c>
      <c r="W363" s="114" t="s">
        <v>58</v>
      </c>
      <c r="X363" s="114" t="s">
        <v>58</v>
      </c>
      <c r="Y363" s="114" t="n">
        <v>1</v>
      </c>
      <c r="Z363" s="114" t="n">
        <v>0</v>
      </c>
      <c r="AA363" s="0" t="s">
        <v>1788</v>
      </c>
      <c r="AB363" s="0" t="s">
        <v>1789</v>
      </c>
      <c r="AC363" s="114" t="s">
        <v>58</v>
      </c>
      <c r="AD363" s="114" t="s">
        <v>58</v>
      </c>
      <c r="AE363" s="114" t="s">
        <v>58</v>
      </c>
      <c r="AF363" s="114" t="s">
        <v>58</v>
      </c>
      <c r="AG363" s="114" t="s">
        <v>58</v>
      </c>
      <c r="AH363" s="0" t="s">
        <v>1790</v>
      </c>
      <c r="AI363" s="0" t="s">
        <v>1791</v>
      </c>
      <c r="AJ363" s="114" t="s">
        <v>58</v>
      </c>
      <c r="AK363" s="114" t="s">
        <v>58</v>
      </c>
      <c r="AL363" s="0" t="s">
        <v>1788</v>
      </c>
      <c r="AM363" s="0" t="s">
        <v>1792</v>
      </c>
      <c r="AN363" s="114" t="s">
        <v>58</v>
      </c>
      <c r="AO363" s="114" t="s">
        <v>58</v>
      </c>
    </row>
    <row r="364" customFormat="false" ht="14.4" hidden="false" customHeight="false" outlineLevel="0" collapsed="false">
      <c r="A364" s="0" t="n">
        <v>367</v>
      </c>
      <c r="B364" s="0" t="s">
        <v>1793</v>
      </c>
      <c r="C364" s="0" t="s">
        <v>429</v>
      </c>
      <c r="D364" s="0" t="s">
        <v>430</v>
      </c>
      <c r="E364" s="0" t="s">
        <v>1794</v>
      </c>
      <c r="F364" s="0" t="n">
        <v>7654</v>
      </c>
      <c r="G364" s="0" t="s">
        <v>140</v>
      </c>
      <c r="H364" s="0" t="n">
        <v>148</v>
      </c>
      <c r="I364" s="0" t="n">
        <v>421</v>
      </c>
      <c r="J364" s="0" t="n">
        <v>213</v>
      </c>
      <c r="K364" s="0" t="n">
        <v>41</v>
      </c>
      <c r="L364" s="0" t="n">
        <v>187</v>
      </c>
      <c r="M364" s="0" t="n">
        <v>0</v>
      </c>
      <c r="N364" s="0" t="n">
        <v>15</v>
      </c>
      <c r="O364" s="0" t="n">
        <v>0</v>
      </c>
      <c r="P364" s="0" t="n">
        <v>30</v>
      </c>
      <c r="Q364" s="114" t="n">
        <v>23</v>
      </c>
      <c r="R364" s="0" t="n">
        <v>68</v>
      </c>
      <c r="S364" s="114" t="n">
        <v>1.35</v>
      </c>
      <c r="T364" s="114" t="n">
        <v>1.8</v>
      </c>
      <c r="U364" s="114" t="s">
        <v>58</v>
      </c>
      <c r="V364" s="0" t="s">
        <v>58</v>
      </c>
      <c r="W364" s="0" t="s">
        <v>58</v>
      </c>
      <c r="X364" s="0" t="s">
        <v>58</v>
      </c>
      <c r="Y364" s="114" t="n">
        <v>0.9</v>
      </c>
      <c r="Z364" s="114" t="n">
        <v>0</v>
      </c>
      <c r="AA364" s="0" t="s">
        <v>1795</v>
      </c>
      <c r="AB364" s="0" t="s">
        <v>1796</v>
      </c>
      <c r="AC364" s="0" t="s">
        <v>1797</v>
      </c>
      <c r="AD364" s="0" t="s">
        <v>1798</v>
      </c>
      <c r="AE364" s="114" t="s">
        <v>58</v>
      </c>
      <c r="AF364" s="114" t="s">
        <v>58</v>
      </c>
      <c r="AG364" s="114" t="s">
        <v>58</v>
      </c>
      <c r="AH364" s="0" t="s">
        <v>1799</v>
      </c>
      <c r="AI364" s="0" t="s">
        <v>1800</v>
      </c>
      <c r="AJ364" s="0" t="s">
        <v>1801</v>
      </c>
      <c r="AK364" s="0" t="s">
        <v>58</v>
      </c>
      <c r="AL364" s="0" t="s">
        <v>1802</v>
      </c>
      <c r="AM364" s="0" t="s">
        <v>1803</v>
      </c>
      <c r="AN364" s="0" t="s">
        <v>1804</v>
      </c>
      <c r="AO364" s="0" t="s">
        <v>58</v>
      </c>
    </row>
    <row r="365" customFormat="false" ht="14.4" hidden="false" customHeight="false" outlineLevel="0" collapsed="false">
      <c r="A365" s="0" t="n">
        <v>55</v>
      </c>
      <c r="B365" s="0" t="s">
        <v>1805</v>
      </c>
      <c r="C365" s="0" t="s">
        <v>437</v>
      </c>
      <c r="D365" s="0" t="s">
        <v>438</v>
      </c>
      <c r="E365" s="0" t="s">
        <v>1794</v>
      </c>
      <c r="F365" s="0" t="n">
        <v>7137</v>
      </c>
      <c r="G365" s="0" t="s">
        <v>142</v>
      </c>
      <c r="H365" s="0" t="n">
        <v>139</v>
      </c>
      <c r="I365" s="0" t="n">
        <v>399</v>
      </c>
      <c r="J365" s="0" t="n">
        <v>0</v>
      </c>
      <c r="K365" s="0" t="n">
        <v>27</v>
      </c>
      <c r="L365" s="0" t="n">
        <v>219</v>
      </c>
      <c r="M365" s="0" t="n">
        <v>0</v>
      </c>
      <c r="N365" s="0" t="n">
        <v>14</v>
      </c>
      <c r="O365" s="0" t="n">
        <v>0</v>
      </c>
      <c r="P365" s="0" t="n">
        <v>21</v>
      </c>
      <c r="Q365" s="114" t="n">
        <v>17</v>
      </c>
      <c r="R365" s="0" t="n">
        <v>70</v>
      </c>
      <c r="S365" s="114" t="n">
        <v>1.3</v>
      </c>
      <c r="T365" s="114" t="n">
        <v>2</v>
      </c>
      <c r="U365" s="114" t="s">
        <v>58</v>
      </c>
      <c r="V365" s="0" t="s">
        <v>58</v>
      </c>
      <c r="W365" s="0" t="s">
        <v>58</v>
      </c>
      <c r="X365" s="0" t="s">
        <v>58</v>
      </c>
      <c r="Y365" s="114" t="n">
        <v>1</v>
      </c>
      <c r="Z365" s="114" t="n">
        <v>0</v>
      </c>
      <c r="AA365" s="114" t="s">
        <v>58</v>
      </c>
      <c r="AB365" s="114" t="s">
        <v>58</v>
      </c>
      <c r="AC365" s="114" t="s">
        <v>58</v>
      </c>
      <c r="AD365" s="114" t="s">
        <v>58</v>
      </c>
      <c r="AE365" s="114" t="s">
        <v>58</v>
      </c>
      <c r="AF365" s="114" t="s">
        <v>58</v>
      </c>
      <c r="AG365" s="114" t="s">
        <v>58</v>
      </c>
      <c r="AH365" s="114" t="s">
        <v>1806</v>
      </c>
      <c r="AI365" s="114" t="s">
        <v>58</v>
      </c>
      <c r="AJ365" s="114" t="s">
        <v>58</v>
      </c>
      <c r="AK365" s="114" t="s">
        <v>58</v>
      </c>
      <c r="AL365" s="114" t="s">
        <v>1807</v>
      </c>
      <c r="AM365" s="114" t="s">
        <v>58</v>
      </c>
      <c r="AN365" s="114" t="s">
        <v>58</v>
      </c>
      <c r="AO365" s="114" t="s">
        <v>58</v>
      </c>
    </row>
    <row r="366" customFormat="false" ht="13.8" hidden="false" customHeight="false" outlineLevel="0" collapsed="false">
      <c r="B366" s="0" t="s">
        <v>1808</v>
      </c>
      <c r="C366" s="0" t="s">
        <v>680</v>
      </c>
      <c r="D366" s="0" t="s">
        <v>443</v>
      </c>
      <c r="E366" s="0" t="s">
        <v>114</v>
      </c>
      <c r="F366" s="0" t="n">
        <v>7223</v>
      </c>
      <c r="G366" s="0" t="s">
        <v>142</v>
      </c>
      <c r="H366" s="0" t="n">
        <v>150</v>
      </c>
      <c r="I366" s="0" t="n">
        <v>415</v>
      </c>
      <c r="J366" s="0" t="n">
        <v>0</v>
      </c>
      <c r="K366" s="0" t="n">
        <v>27</v>
      </c>
      <c r="L366" s="0" t="n">
        <v>225</v>
      </c>
      <c r="M366" s="0" t="n">
        <v>0</v>
      </c>
      <c r="N366" s="0" t="n">
        <v>14</v>
      </c>
      <c r="O366" s="0" t="n">
        <v>0</v>
      </c>
      <c r="P366" s="0" t="n">
        <v>23</v>
      </c>
      <c r="Q366" s="0" t="n">
        <v>7200</v>
      </c>
      <c r="R366" s="0" t="n">
        <v>66</v>
      </c>
      <c r="S366" s="114" t="n">
        <v>1.3</v>
      </c>
      <c r="T366" s="114" t="n">
        <v>2</v>
      </c>
      <c r="U366" s="114" t="s">
        <v>58</v>
      </c>
      <c r="V366" s="0" t="s">
        <v>58</v>
      </c>
      <c r="W366" s="0" t="s">
        <v>58</v>
      </c>
      <c r="X366" s="0" t="s">
        <v>58</v>
      </c>
      <c r="Y366" s="114" t="n">
        <v>1</v>
      </c>
      <c r="Z366" s="114" t="n">
        <v>0</v>
      </c>
      <c r="AA366" s="0" t="s">
        <v>1809</v>
      </c>
      <c r="AB366" s="159"/>
      <c r="AC366" s="159"/>
      <c r="AD366" s="159"/>
      <c r="AE366" s="114"/>
      <c r="AF366" s="114"/>
      <c r="AG366" s="114"/>
      <c r="AI366" s="114"/>
      <c r="AJ366" s="114"/>
      <c r="AK366" s="114"/>
      <c r="AM366" s="114"/>
      <c r="AN366" s="114"/>
      <c r="AO366" s="114"/>
    </row>
    <row r="367" customFormat="false" ht="14.4" hidden="false" customHeight="false" outlineLevel="0" collapsed="false">
      <c r="A367" s="0" t="n">
        <v>250</v>
      </c>
      <c r="B367" s="0" t="s">
        <v>1810</v>
      </c>
      <c r="C367" s="0" t="s">
        <v>1065</v>
      </c>
      <c r="D367" s="0" t="s">
        <v>430</v>
      </c>
      <c r="E367" s="0" t="s">
        <v>114</v>
      </c>
      <c r="F367" s="0" t="n">
        <v>8762</v>
      </c>
      <c r="G367" s="0" t="s">
        <v>142</v>
      </c>
      <c r="H367" s="0" t="n">
        <v>152</v>
      </c>
      <c r="I367" s="0" t="n">
        <v>423</v>
      </c>
      <c r="J367" s="0" t="n">
        <v>0</v>
      </c>
      <c r="K367" s="0" t="n">
        <v>33</v>
      </c>
      <c r="L367" s="0" t="n">
        <v>208</v>
      </c>
      <c r="M367" s="0" t="n">
        <v>0</v>
      </c>
      <c r="N367" s="0" t="n">
        <v>15</v>
      </c>
      <c r="O367" s="0" t="n">
        <v>0</v>
      </c>
      <c r="P367" s="0" t="n">
        <v>30</v>
      </c>
      <c r="Q367" s="0" t="n">
        <v>32</v>
      </c>
      <c r="R367" s="0" t="n">
        <v>73</v>
      </c>
      <c r="S367" s="114" t="n">
        <v>1.3</v>
      </c>
      <c r="T367" s="114" t="n">
        <v>1.8</v>
      </c>
      <c r="U367" s="114" t="s">
        <v>58</v>
      </c>
      <c r="V367" s="0" t="s">
        <v>58</v>
      </c>
      <c r="W367" s="0" t="s">
        <v>58</v>
      </c>
      <c r="X367" s="0" t="s">
        <v>58</v>
      </c>
      <c r="Y367" s="114" t="n">
        <v>0.9</v>
      </c>
      <c r="Z367" s="114" t="n">
        <v>0</v>
      </c>
      <c r="AA367" s="0" t="s">
        <v>1811</v>
      </c>
      <c r="AB367" s="0" t="s">
        <v>1812</v>
      </c>
      <c r="AC367" s="114" t="s">
        <v>58</v>
      </c>
      <c r="AD367" s="114" t="s">
        <v>58</v>
      </c>
      <c r="AE367" s="114" t="s">
        <v>58</v>
      </c>
      <c r="AF367" s="114" t="s">
        <v>58</v>
      </c>
      <c r="AG367" s="114" t="s">
        <v>58</v>
      </c>
      <c r="AH367" s="0" t="s">
        <v>1813</v>
      </c>
      <c r="AI367" s="0" t="s">
        <v>1814</v>
      </c>
      <c r="AJ367" s="114" t="s">
        <v>1815</v>
      </c>
      <c r="AK367" s="114" t="s">
        <v>58</v>
      </c>
      <c r="AL367" s="0" t="s">
        <v>1816</v>
      </c>
      <c r="AM367" s="0" t="s">
        <v>1811</v>
      </c>
      <c r="AN367" s="114" t="s">
        <v>1817</v>
      </c>
      <c r="AO367" s="114" t="s">
        <v>58</v>
      </c>
    </row>
    <row r="368" customFormat="false" ht="14.4" hidden="false" customHeight="false" outlineLevel="0" collapsed="false">
      <c r="A368" s="0" t="n">
        <v>59</v>
      </c>
      <c r="B368" s="0" t="s">
        <v>1818</v>
      </c>
      <c r="C368" s="0" t="s">
        <v>437</v>
      </c>
      <c r="D368" s="0" t="s">
        <v>472</v>
      </c>
      <c r="E368" s="0" t="s">
        <v>1794</v>
      </c>
      <c r="F368" s="0" t="n">
        <v>7385</v>
      </c>
      <c r="G368" s="0" t="s">
        <v>142</v>
      </c>
      <c r="H368" s="0" t="n">
        <v>139</v>
      </c>
      <c r="I368" s="0" t="n">
        <v>391</v>
      </c>
      <c r="J368" s="0" t="n">
        <v>0</v>
      </c>
      <c r="K368" s="0" t="n">
        <v>28</v>
      </c>
      <c r="L368" s="0" t="n">
        <v>211</v>
      </c>
      <c r="M368" s="0" t="n">
        <v>0</v>
      </c>
      <c r="N368" s="0" t="n">
        <v>13</v>
      </c>
      <c r="O368" s="0" t="n">
        <v>0</v>
      </c>
      <c r="P368" s="0" t="n">
        <v>21</v>
      </c>
      <c r="Q368" s="114" t="n">
        <v>36</v>
      </c>
      <c r="R368" s="0" t="n">
        <v>69</v>
      </c>
      <c r="S368" s="114" t="n">
        <v>1.3</v>
      </c>
      <c r="T368" s="114" t="n">
        <v>2</v>
      </c>
      <c r="U368" s="114" t="s">
        <v>58</v>
      </c>
      <c r="V368" s="0" t="s">
        <v>58</v>
      </c>
      <c r="W368" s="0" t="s">
        <v>58</v>
      </c>
      <c r="X368" s="0" t="s">
        <v>58</v>
      </c>
      <c r="Y368" s="114" t="n">
        <v>1</v>
      </c>
      <c r="Z368" s="114" t="n">
        <v>0</v>
      </c>
      <c r="AA368" s="114" t="s">
        <v>58</v>
      </c>
      <c r="AB368" s="114" t="s">
        <v>58</v>
      </c>
      <c r="AC368" s="114" t="s">
        <v>58</v>
      </c>
      <c r="AD368" s="114" t="s">
        <v>58</v>
      </c>
      <c r="AE368" s="114" t="s">
        <v>58</v>
      </c>
      <c r="AF368" s="114" t="s">
        <v>58</v>
      </c>
      <c r="AG368" s="114" t="s">
        <v>58</v>
      </c>
      <c r="AH368" s="114" t="s">
        <v>1589</v>
      </c>
      <c r="AI368" s="114" t="s">
        <v>58</v>
      </c>
      <c r="AJ368" s="114" t="s">
        <v>58</v>
      </c>
      <c r="AK368" s="114" t="s">
        <v>58</v>
      </c>
      <c r="AL368" s="114" t="s">
        <v>1591</v>
      </c>
      <c r="AM368" s="114" t="s">
        <v>58</v>
      </c>
      <c r="AN368" s="114" t="s">
        <v>58</v>
      </c>
      <c r="AO368" s="114" t="s">
        <v>58</v>
      </c>
    </row>
    <row r="369" customFormat="false" ht="14.4" hidden="false" customHeight="false" outlineLevel="0" collapsed="false">
      <c r="B369" s="0" t="s">
        <v>1819</v>
      </c>
      <c r="C369" s="0" t="s">
        <v>1820</v>
      </c>
      <c r="D369" s="0" t="s">
        <v>1344</v>
      </c>
      <c r="E369" s="0" t="s">
        <v>114</v>
      </c>
      <c r="F369" s="0" t="n">
        <v>6896</v>
      </c>
      <c r="G369" s="0" t="s">
        <v>140</v>
      </c>
      <c r="H369" s="0" t="n">
        <v>181</v>
      </c>
      <c r="I369" s="0" t="n">
        <v>454</v>
      </c>
      <c r="J369" s="0" t="n">
        <v>0</v>
      </c>
      <c r="K369" s="0" t="n">
        <v>36</v>
      </c>
      <c r="L369" s="0" t="n">
        <v>241</v>
      </c>
      <c r="M369" s="0" t="n">
        <v>0</v>
      </c>
      <c r="N369" s="0" t="n">
        <v>15</v>
      </c>
      <c r="O369" s="0" t="n">
        <v>0</v>
      </c>
      <c r="P369" s="0" t="n">
        <v>32</v>
      </c>
      <c r="Q369" s="0" t="n">
        <v>0</v>
      </c>
      <c r="R369" s="0" t="n">
        <v>77</v>
      </c>
      <c r="S369" s="114" t="n">
        <v>1.8</v>
      </c>
      <c r="T369" s="114" t="n">
        <v>2</v>
      </c>
      <c r="U369" s="114" t="s">
        <v>58</v>
      </c>
      <c r="V369" s="0" t="s">
        <v>58</v>
      </c>
      <c r="W369" s="0" t="s">
        <v>58</v>
      </c>
      <c r="X369" s="0" t="s">
        <v>58</v>
      </c>
      <c r="Y369" s="114" t="n">
        <v>0.8</v>
      </c>
      <c r="Z369" s="114" t="n">
        <v>0</v>
      </c>
      <c r="AA369" s="0" t="s">
        <v>1821</v>
      </c>
      <c r="AB369" s="0" t="s">
        <v>1822</v>
      </c>
      <c r="AE369" s="114"/>
      <c r="AF369" s="114"/>
      <c r="AG369" s="114"/>
      <c r="AI369" s="114"/>
      <c r="AJ369" s="114"/>
      <c r="AK369" s="114"/>
      <c r="AM369" s="114"/>
      <c r="AN369" s="114"/>
      <c r="AO369" s="114"/>
    </row>
    <row r="370" customFormat="false" ht="14.4" hidden="false" customHeight="false" outlineLevel="0" collapsed="false">
      <c r="A370" s="0" t="n">
        <v>60</v>
      </c>
      <c r="B370" s="0" t="s">
        <v>1823</v>
      </c>
      <c r="C370" s="0" t="s">
        <v>437</v>
      </c>
      <c r="D370" s="0" t="s">
        <v>438</v>
      </c>
      <c r="E370" s="0" t="s">
        <v>1794</v>
      </c>
      <c r="F370" s="0" t="n">
        <v>7456</v>
      </c>
      <c r="G370" s="0" t="s">
        <v>142</v>
      </c>
      <c r="H370" s="0" t="n">
        <v>149</v>
      </c>
      <c r="I370" s="0" t="n">
        <v>409</v>
      </c>
      <c r="J370" s="0" t="n">
        <v>0</v>
      </c>
      <c r="K370" s="0" t="n">
        <v>30</v>
      </c>
      <c r="L370" s="0" t="n">
        <v>216</v>
      </c>
      <c r="M370" s="0" t="n">
        <v>0</v>
      </c>
      <c r="N370" s="0" t="n">
        <v>14</v>
      </c>
      <c r="O370" s="0" t="n">
        <v>0</v>
      </c>
      <c r="P370" s="0" t="n">
        <v>21</v>
      </c>
      <c r="Q370" s="114" t="n">
        <v>67</v>
      </c>
      <c r="R370" s="0" t="n">
        <v>69</v>
      </c>
      <c r="S370" s="114" t="n">
        <v>1.3</v>
      </c>
      <c r="T370" s="114" t="n">
        <v>2</v>
      </c>
      <c r="U370" s="114" t="s">
        <v>58</v>
      </c>
      <c r="V370" s="0" t="s">
        <v>58</v>
      </c>
      <c r="W370" s="0" t="s">
        <v>58</v>
      </c>
      <c r="X370" s="0" t="s">
        <v>58</v>
      </c>
      <c r="Y370" s="114" t="n">
        <v>1</v>
      </c>
      <c r="Z370" s="114" t="n">
        <v>0</v>
      </c>
      <c r="AA370" s="0" t="s">
        <v>1824</v>
      </c>
      <c r="AB370" s="114" t="s">
        <v>58</v>
      </c>
      <c r="AC370" s="114" t="s">
        <v>58</v>
      </c>
      <c r="AD370" s="114" t="s">
        <v>58</v>
      </c>
      <c r="AE370" s="114" t="s">
        <v>58</v>
      </c>
      <c r="AF370" s="114" t="s">
        <v>58</v>
      </c>
      <c r="AG370" s="114" t="s">
        <v>58</v>
      </c>
      <c r="AH370" s="0" t="s">
        <v>1825</v>
      </c>
      <c r="AI370" s="114" t="s">
        <v>58</v>
      </c>
      <c r="AJ370" s="114" t="s">
        <v>58</v>
      </c>
      <c r="AK370" s="114" t="s">
        <v>58</v>
      </c>
      <c r="AL370" s="0" t="s">
        <v>1826</v>
      </c>
      <c r="AM370" s="114" t="s">
        <v>58</v>
      </c>
      <c r="AN370" s="114" t="s">
        <v>58</v>
      </c>
      <c r="AO370" s="114" t="s">
        <v>58</v>
      </c>
    </row>
    <row r="371" customFormat="false" ht="14.4" hidden="false" customHeight="false" outlineLevel="0" collapsed="false">
      <c r="A371" s="0" t="n">
        <v>411</v>
      </c>
      <c r="B371" s="0" t="s">
        <v>1827</v>
      </c>
      <c r="C371" s="0" t="s">
        <v>571</v>
      </c>
      <c r="D371" s="0" t="s">
        <v>472</v>
      </c>
      <c r="E371" s="0" t="s">
        <v>114</v>
      </c>
      <c r="F371" s="0" t="n">
        <v>6831</v>
      </c>
      <c r="G371" s="0" t="s">
        <v>142</v>
      </c>
      <c r="H371" s="0" t="n">
        <v>138</v>
      </c>
      <c r="I371" s="0" t="n">
        <v>337</v>
      </c>
      <c r="J371" s="0" t="n">
        <v>146</v>
      </c>
      <c r="K371" s="0" t="n">
        <v>36</v>
      </c>
      <c r="L371" s="0" t="n">
        <v>175</v>
      </c>
      <c r="M371" s="0" t="n">
        <v>0</v>
      </c>
      <c r="N371" s="0" t="n">
        <v>13</v>
      </c>
      <c r="O371" s="0" t="n">
        <v>0</v>
      </c>
      <c r="P371" s="0" t="n">
        <v>27</v>
      </c>
      <c r="Q371" s="0" t="n">
        <v>45</v>
      </c>
      <c r="R371" s="0" t="n">
        <v>62</v>
      </c>
      <c r="S371" s="114" t="n">
        <v>1.25</v>
      </c>
      <c r="T371" s="114" t="n">
        <v>1.5</v>
      </c>
      <c r="U371" s="114" t="s">
        <v>58</v>
      </c>
      <c r="V371" s="114" t="s">
        <v>58</v>
      </c>
      <c r="W371" s="114" t="s">
        <v>58</v>
      </c>
      <c r="X371" s="114" t="s">
        <v>58</v>
      </c>
      <c r="Y371" s="114" t="n">
        <v>0.7</v>
      </c>
      <c r="Z371" s="114" t="n">
        <v>0</v>
      </c>
      <c r="AA371" s="154" t="s">
        <v>1828</v>
      </c>
      <c r="AB371" s="114" t="s">
        <v>58</v>
      </c>
      <c r="AC371" s="114" t="s">
        <v>58</v>
      </c>
      <c r="AD371" s="114" t="s">
        <v>58</v>
      </c>
      <c r="AE371" s="114" t="s">
        <v>58</v>
      </c>
      <c r="AF371" s="114" t="s">
        <v>58</v>
      </c>
      <c r="AG371" s="114" t="s">
        <v>58</v>
      </c>
      <c r="AH371" s="154" t="s">
        <v>1829</v>
      </c>
      <c r="AI371" s="114" t="s">
        <v>58</v>
      </c>
      <c r="AJ371" s="114" t="s">
        <v>58</v>
      </c>
      <c r="AK371" s="114" t="s">
        <v>58</v>
      </c>
      <c r="AL371" s="154" t="s">
        <v>1828</v>
      </c>
      <c r="AM371" s="114" t="s">
        <v>58</v>
      </c>
      <c r="AN371" s="114" t="s">
        <v>58</v>
      </c>
      <c r="AO371" s="114" t="s">
        <v>58</v>
      </c>
    </row>
    <row r="372" customFormat="false" ht="14.4" hidden="false" customHeight="false" outlineLevel="0" collapsed="false">
      <c r="A372" s="0" t="n">
        <v>136</v>
      </c>
      <c r="B372" s="0" t="s">
        <v>115</v>
      </c>
      <c r="C372" s="0" t="s">
        <v>471</v>
      </c>
      <c r="D372" s="0" t="s">
        <v>430</v>
      </c>
      <c r="E372" s="0" t="s">
        <v>1794</v>
      </c>
      <c r="F372" s="0" t="n">
        <v>7967</v>
      </c>
      <c r="G372" s="0" t="s">
        <v>142</v>
      </c>
      <c r="H372" s="0" t="n">
        <v>153</v>
      </c>
      <c r="I372" s="0" t="n">
        <v>421</v>
      </c>
      <c r="J372" s="0" t="n">
        <v>0</v>
      </c>
      <c r="K372" s="0" t="n">
        <v>35</v>
      </c>
      <c r="L372" s="0" t="n">
        <v>225</v>
      </c>
      <c r="M372" s="0" t="n">
        <v>0</v>
      </c>
      <c r="N372" s="0" t="n">
        <v>15</v>
      </c>
      <c r="O372" s="0" t="n">
        <v>0</v>
      </c>
      <c r="P372" s="0" t="n">
        <v>28</v>
      </c>
      <c r="Q372" s="114" t="n">
        <v>73</v>
      </c>
      <c r="R372" s="0" t="n">
        <v>70</v>
      </c>
      <c r="S372" s="114" t="n">
        <v>1.35</v>
      </c>
      <c r="T372" s="114" t="n">
        <v>2</v>
      </c>
      <c r="U372" s="114" t="s">
        <v>58</v>
      </c>
      <c r="V372" s="0" t="s">
        <v>58</v>
      </c>
      <c r="W372" s="0" t="s">
        <v>58</v>
      </c>
      <c r="X372" s="0" t="s">
        <v>58</v>
      </c>
      <c r="Y372" s="114" t="n">
        <v>1</v>
      </c>
      <c r="Z372" s="114" t="n">
        <v>0</v>
      </c>
      <c r="AA372" s="0" t="s">
        <v>1830</v>
      </c>
      <c r="AB372" s="114" t="s">
        <v>58</v>
      </c>
      <c r="AC372" s="114" t="s">
        <v>58</v>
      </c>
      <c r="AD372" s="114" t="s">
        <v>58</v>
      </c>
      <c r="AE372" s="114" t="s">
        <v>58</v>
      </c>
      <c r="AF372" s="114" t="s">
        <v>58</v>
      </c>
      <c r="AG372" s="114" t="s">
        <v>58</v>
      </c>
      <c r="AH372" s="0" t="s">
        <v>1831</v>
      </c>
      <c r="AI372" s="114" t="s">
        <v>1832</v>
      </c>
      <c r="AJ372" s="114" t="s">
        <v>58</v>
      </c>
      <c r="AK372" s="114" t="s">
        <v>58</v>
      </c>
      <c r="AL372" s="0" t="s">
        <v>1830</v>
      </c>
      <c r="AM372" s="114" t="s">
        <v>1833</v>
      </c>
      <c r="AN372" s="114" t="s">
        <v>58</v>
      </c>
      <c r="AO372" s="114" t="s">
        <v>58</v>
      </c>
    </row>
    <row r="373" customFormat="false" ht="14.4" hidden="false" customHeight="false" outlineLevel="0" collapsed="false">
      <c r="A373" s="0" t="n">
        <v>352</v>
      </c>
      <c r="B373" s="0" t="s">
        <v>1834</v>
      </c>
      <c r="C373" s="0" t="s">
        <v>848</v>
      </c>
      <c r="D373" s="0" t="s">
        <v>438</v>
      </c>
      <c r="E373" s="0" t="s">
        <v>1794</v>
      </c>
      <c r="F373" s="0" t="n">
        <v>6788</v>
      </c>
      <c r="G373" s="0" t="s">
        <v>140</v>
      </c>
      <c r="H373" s="0" t="n">
        <v>163</v>
      </c>
      <c r="I373" s="0" t="n">
        <v>357</v>
      </c>
      <c r="J373" s="0" t="n">
        <v>0</v>
      </c>
      <c r="K373" s="0" t="n">
        <v>41</v>
      </c>
      <c r="L373" s="0" t="n">
        <v>227</v>
      </c>
      <c r="M373" s="0" t="n">
        <v>0</v>
      </c>
      <c r="N373" s="0" t="n">
        <v>13</v>
      </c>
      <c r="O373" s="0" t="n">
        <v>0</v>
      </c>
      <c r="P373" s="0" t="n">
        <v>31</v>
      </c>
      <c r="Q373" s="114" t="n">
        <v>35</v>
      </c>
      <c r="R373" s="0" t="n">
        <v>71</v>
      </c>
      <c r="S373" s="114" t="n">
        <v>1.7</v>
      </c>
      <c r="T373" s="114" t="n">
        <v>1.5</v>
      </c>
      <c r="U373" s="114" t="s">
        <v>58</v>
      </c>
      <c r="V373" s="0" t="s">
        <v>58</v>
      </c>
      <c r="W373" s="0" t="s">
        <v>58</v>
      </c>
      <c r="X373" s="0" t="s">
        <v>58</v>
      </c>
      <c r="Y373" s="114" t="n">
        <v>0.7</v>
      </c>
      <c r="Z373" s="114" t="n">
        <v>0</v>
      </c>
      <c r="AA373" s="0" t="s">
        <v>1835</v>
      </c>
      <c r="AB373" s="0" t="s">
        <v>1836</v>
      </c>
      <c r="AC373" s="114" t="s">
        <v>58</v>
      </c>
      <c r="AD373" s="114" t="s">
        <v>58</v>
      </c>
      <c r="AE373" s="114" t="s">
        <v>58</v>
      </c>
      <c r="AF373" s="114" t="s">
        <v>58</v>
      </c>
      <c r="AG373" s="114" t="s">
        <v>58</v>
      </c>
      <c r="AH373" s="0" t="s">
        <v>1837</v>
      </c>
      <c r="AI373" s="0" t="s">
        <v>58</v>
      </c>
      <c r="AJ373" s="114" t="s">
        <v>58</v>
      </c>
      <c r="AK373" s="114" t="s">
        <v>58</v>
      </c>
      <c r="AL373" s="0" t="s">
        <v>1835</v>
      </c>
      <c r="AM373" s="0" t="s">
        <v>58</v>
      </c>
      <c r="AN373" s="114" t="s">
        <v>58</v>
      </c>
      <c r="AO373" s="114" t="s">
        <v>58</v>
      </c>
    </row>
    <row r="374" customFormat="false" ht="15" hidden="false" customHeight="true" outlineLevel="0" collapsed="false">
      <c r="A374" s="0" t="n">
        <v>149</v>
      </c>
      <c r="B374" s="0" t="s">
        <v>1838</v>
      </c>
      <c r="C374" s="0" t="s">
        <v>471</v>
      </c>
      <c r="D374" s="0" t="s">
        <v>438</v>
      </c>
      <c r="E374" s="0" t="s">
        <v>1784</v>
      </c>
      <c r="F374" s="0" t="n">
        <v>3642</v>
      </c>
      <c r="G374" s="0" t="s">
        <v>138</v>
      </c>
      <c r="H374" s="0" t="n">
        <v>145</v>
      </c>
      <c r="I374" s="0" t="n">
        <v>282</v>
      </c>
      <c r="J374" s="0" t="n">
        <v>0</v>
      </c>
      <c r="K374" s="0" t="n">
        <v>61</v>
      </c>
      <c r="L374" s="0" t="n">
        <v>171</v>
      </c>
      <c r="M374" s="0" t="n">
        <v>0</v>
      </c>
      <c r="N374" s="0" t="n">
        <v>10</v>
      </c>
      <c r="O374" s="0" t="n">
        <v>0</v>
      </c>
      <c r="P374" s="0" t="n">
        <v>12</v>
      </c>
      <c r="Q374" s="114" t="n">
        <v>91</v>
      </c>
      <c r="R374" s="0" t="n">
        <v>81</v>
      </c>
      <c r="S374" s="114" t="n">
        <v>1.2</v>
      </c>
      <c r="T374" s="114" t="n">
        <v>2</v>
      </c>
      <c r="U374" s="114" t="s">
        <v>58</v>
      </c>
      <c r="V374" s="0" t="s">
        <v>58</v>
      </c>
      <c r="W374" s="0" t="s">
        <v>58</v>
      </c>
      <c r="X374" s="0" t="s">
        <v>58</v>
      </c>
      <c r="Y374" s="114" t="n">
        <v>1</v>
      </c>
      <c r="Z374" s="114" t="n">
        <v>0</v>
      </c>
      <c r="AA374" s="0" t="s">
        <v>1839</v>
      </c>
      <c r="AB374" s="0" t="s">
        <v>1840</v>
      </c>
      <c r="AC374" s="114" t="s">
        <v>58</v>
      </c>
      <c r="AD374" s="114" t="s">
        <v>58</v>
      </c>
      <c r="AE374" s="114" t="s">
        <v>58</v>
      </c>
      <c r="AF374" s="114" t="s">
        <v>58</v>
      </c>
      <c r="AG374" s="114" t="s">
        <v>58</v>
      </c>
      <c r="AH374" s="0" t="s">
        <v>1841</v>
      </c>
      <c r="AI374" s="0" t="s">
        <v>58</v>
      </c>
      <c r="AJ374" s="114" t="s">
        <v>58</v>
      </c>
      <c r="AK374" s="114" t="s">
        <v>58</v>
      </c>
      <c r="AL374" s="0" t="s">
        <v>1842</v>
      </c>
      <c r="AM374" s="0" t="s">
        <v>58</v>
      </c>
      <c r="AN374" s="114" t="s">
        <v>58</v>
      </c>
      <c r="AO374" s="114" t="s">
        <v>58</v>
      </c>
    </row>
    <row r="375" customFormat="false" ht="14.4" hidden="false" customHeight="false" outlineLevel="0" collapsed="false">
      <c r="A375" s="0" t="s">
        <v>1843</v>
      </c>
      <c r="B375" s="0" t="s">
        <v>1844</v>
      </c>
      <c r="C375" s="0" t="s">
        <v>1065</v>
      </c>
      <c r="D375" s="0" t="s">
        <v>1845</v>
      </c>
      <c r="E375" s="0" t="s">
        <v>1794</v>
      </c>
      <c r="F375" s="0" t="n">
        <v>9886</v>
      </c>
      <c r="G375" s="0" t="s">
        <v>142</v>
      </c>
      <c r="H375" s="0" t="n">
        <v>157</v>
      </c>
      <c r="I375" s="0" t="n">
        <v>449</v>
      </c>
      <c r="J375" s="0" t="n">
        <v>0</v>
      </c>
      <c r="K375" s="0" t="n">
        <v>27</v>
      </c>
      <c r="L375" s="0" t="n">
        <v>241</v>
      </c>
      <c r="M375" s="0" t="n">
        <v>0</v>
      </c>
      <c r="N375" s="0" t="n">
        <v>19</v>
      </c>
      <c r="O375" s="0" t="n">
        <v>0</v>
      </c>
      <c r="P375" s="0" t="n">
        <v>30</v>
      </c>
      <c r="Q375" s="0" t="n">
        <v>0</v>
      </c>
      <c r="R375" s="0" t="n">
        <v>65</v>
      </c>
      <c r="S375" s="114" t="n">
        <v>1.6</v>
      </c>
      <c r="T375" s="114" t="n">
        <v>2.2</v>
      </c>
      <c r="U375" s="114" t="s">
        <v>58</v>
      </c>
      <c r="V375" s="114" t="s">
        <v>58</v>
      </c>
      <c r="W375" s="0" t="s">
        <v>58</v>
      </c>
      <c r="X375" s="0" t="s">
        <v>58</v>
      </c>
      <c r="Y375" s="114" t="n">
        <v>1</v>
      </c>
      <c r="Z375" s="114" t="n">
        <v>0</v>
      </c>
      <c r="AA375" s="0" t="s">
        <v>1846</v>
      </c>
      <c r="AB375" s="0" t="s">
        <v>1847</v>
      </c>
      <c r="AC375" s="114" t="s">
        <v>58</v>
      </c>
      <c r="AD375" s="114" t="s">
        <v>58</v>
      </c>
      <c r="AE375" s="114" t="s">
        <v>58</v>
      </c>
      <c r="AF375" s="114" t="s">
        <v>58</v>
      </c>
      <c r="AG375" s="114" t="s">
        <v>58</v>
      </c>
      <c r="AH375" s="0" t="s">
        <v>1848</v>
      </c>
      <c r="AI375" s="0" t="s">
        <v>1849</v>
      </c>
      <c r="AJ375" s="114" t="s">
        <v>1850</v>
      </c>
      <c r="AK375" s="114" t="s">
        <v>58</v>
      </c>
      <c r="AL375" s="0" t="s">
        <v>1851</v>
      </c>
      <c r="AM375" s="0" t="s">
        <v>1852</v>
      </c>
      <c r="AN375" s="114" t="s">
        <v>1853</v>
      </c>
      <c r="AO375" s="114" t="s">
        <v>822</v>
      </c>
    </row>
    <row r="376" customFormat="false" ht="15" hidden="false" customHeight="true" outlineLevel="0" collapsed="false">
      <c r="A376" s="0" t="n">
        <v>208</v>
      </c>
      <c r="B376" s="0" t="s">
        <v>1854</v>
      </c>
      <c r="C376" s="0" t="s">
        <v>429</v>
      </c>
      <c r="D376" s="0" t="s">
        <v>472</v>
      </c>
      <c r="E376" s="0" t="s">
        <v>1794</v>
      </c>
      <c r="F376" s="0" t="n">
        <v>6916</v>
      </c>
      <c r="G376" s="0" t="s">
        <v>142</v>
      </c>
      <c r="H376" s="0" t="n">
        <v>142</v>
      </c>
      <c r="I376" s="0" t="n">
        <v>416</v>
      </c>
      <c r="J376" s="0" t="n">
        <v>0</v>
      </c>
      <c r="K376" s="0" t="n">
        <v>31</v>
      </c>
      <c r="L376" s="0" t="n">
        <v>222</v>
      </c>
      <c r="M376" s="0" t="n">
        <v>0</v>
      </c>
      <c r="N376" s="0" t="n">
        <v>0</v>
      </c>
      <c r="O376" s="0" t="n">
        <v>0</v>
      </c>
      <c r="P376" s="0" t="n">
        <v>23</v>
      </c>
      <c r="Q376" s="114" t="n">
        <v>13</v>
      </c>
      <c r="R376" s="0" t="n">
        <v>66</v>
      </c>
      <c r="S376" s="114" t="n">
        <v>1.45</v>
      </c>
      <c r="T376" s="114" t="n">
        <v>2</v>
      </c>
      <c r="U376" s="114" t="s">
        <v>58</v>
      </c>
      <c r="V376" s="0" t="s">
        <v>58</v>
      </c>
      <c r="W376" s="0" t="s">
        <v>58</v>
      </c>
      <c r="X376" s="0" t="s">
        <v>58</v>
      </c>
      <c r="Y376" s="114" t="n">
        <v>0.8</v>
      </c>
      <c r="Z376" s="114" t="n">
        <v>0</v>
      </c>
      <c r="AA376" s="114" t="s">
        <v>58</v>
      </c>
      <c r="AB376" s="114" t="s">
        <v>58</v>
      </c>
      <c r="AC376" s="114" t="s">
        <v>58</v>
      </c>
      <c r="AD376" s="114" t="s">
        <v>58</v>
      </c>
      <c r="AE376" s="114" t="s">
        <v>58</v>
      </c>
      <c r="AF376" s="114" t="s">
        <v>58</v>
      </c>
      <c r="AG376" s="114" t="s">
        <v>58</v>
      </c>
      <c r="AH376" s="114" t="s">
        <v>1855</v>
      </c>
      <c r="AI376" s="114" t="s">
        <v>58</v>
      </c>
      <c r="AJ376" s="114" t="s">
        <v>58</v>
      </c>
      <c r="AK376" s="114" t="s">
        <v>58</v>
      </c>
      <c r="AL376" s="114" t="s">
        <v>1482</v>
      </c>
      <c r="AM376" s="114" t="s">
        <v>58</v>
      </c>
      <c r="AN376" s="114" t="s">
        <v>58</v>
      </c>
      <c r="AO376" s="114" t="s">
        <v>58</v>
      </c>
    </row>
    <row r="377" customFormat="false" ht="14.4" hidden="false" customHeight="false" outlineLevel="0" collapsed="false">
      <c r="A377" s="0" t="n">
        <v>3208</v>
      </c>
      <c r="B377" s="0" t="s">
        <v>1856</v>
      </c>
      <c r="C377" s="0" t="s">
        <v>429</v>
      </c>
      <c r="D377" s="0" t="s">
        <v>438</v>
      </c>
      <c r="E377" s="0" t="s">
        <v>1857</v>
      </c>
      <c r="F377" s="0" t="n">
        <v>7266</v>
      </c>
      <c r="G377" s="0" t="s">
        <v>142</v>
      </c>
      <c r="H377" s="0" t="n">
        <v>134</v>
      </c>
      <c r="I377" s="0" t="n">
        <v>390</v>
      </c>
      <c r="J377" s="0" t="n">
        <v>0</v>
      </c>
      <c r="K377" s="0" t="n">
        <v>31</v>
      </c>
      <c r="L377" s="0" t="n">
        <v>303</v>
      </c>
      <c r="M377" s="0" t="n">
        <v>202</v>
      </c>
      <c r="N377" s="0" t="n">
        <v>13</v>
      </c>
      <c r="O377" s="0" t="n">
        <v>0</v>
      </c>
      <c r="P377" s="0" t="n">
        <v>23</v>
      </c>
      <c r="Q377" s="114" t="n">
        <v>13</v>
      </c>
      <c r="R377" s="0" t="n">
        <v>77</v>
      </c>
      <c r="S377" s="114" t="n">
        <v>1.65</v>
      </c>
      <c r="T377" s="114" t="n">
        <v>2</v>
      </c>
      <c r="U377" s="114" t="s">
        <v>58</v>
      </c>
      <c r="V377" s="0" t="s">
        <v>1858</v>
      </c>
      <c r="W377" s="0" t="s">
        <v>58</v>
      </c>
      <c r="X377" s="0" t="n">
        <v>3</v>
      </c>
      <c r="Y377" s="114" t="n">
        <v>0.85</v>
      </c>
      <c r="Z377" s="114" t="n">
        <v>0</v>
      </c>
      <c r="AA377" s="0" t="s">
        <v>1859</v>
      </c>
      <c r="AB377" s="114" t="s">
        <v>58</v>
      </c>
      <c r="AC377" s="114" t="s">
        <v>58</v>
      </c>
      <c r="AD377" s="114" t="s">
        <v>58</v>
      </c>
      <c r="AE377" s="114" t="s">
        <v>58</v>
      </c>
      <c r="AF377" s="114" t="s">
        <v>58</v>
      </c>
      <c r="AG377" s="114" t="s">
        <v>58</v>
      </c>
      <c r="AH377" s="0" t="s">
        <v>1855</v>
      </c>
      <c r="AI377" s="114" t="s">
        <v>1860</v>
      </c>
      <c r="AJ377" s="114" t="s">
        <v>58</v>
      </c>
      <c r="AK377" s="114" t="s">
        <v>58</v>
      </c>
      <c r="AL377" s="0" t="s">
        <v>1482</v>
      </c>
      <c r="AM377" s="114" t="s">
        <v>1859</v>
      </c>
      <c r="AN377" s="114" t="s">
        <v>58</v>
      </c>
      <c r="AO377" s="114" t="s">
        <v>58</v>
      </c>
    </row>
    <row r="378" customFormat="false" ht="14.4" hidden="false" customHeight="false" outlineLevel="0" collapsed="false">
      <c r="B378" s="0" t="s">
        <v>1861</v>
      </c>
      <c r="C378" s="0" t="s">
        <v>680</v>
      </c>
      <c r="D378" s="0" t="s">
        <v>438</v>
      </c>
      <c r="E378" s="0" t="s">
        <v>114</v>
      </c>
      <c r="F378" s="0" t="n">
        <v>6491</v>
      </c>
      <c r="G378" s="0" t="s">
        <v>142</v>
      </c>
      <c r="H378" s="0" t="n">
        <v>149</v>
      </c>
      <c r="I378" s="0" t="n">
        <v>324</v>
      </c>
      <c r="J378" s="0" t="n">
        <v>0</v>
      </c>
      <c r="K378" s="0" t="n">
        <v>33</v>
      </c>
      <c r="L378" s="0" t="n">
        <v>174</v>
      </c>
      <c r="M378" s="0" t="n">
        <v>0</v>
      </c>
      <c r="N378" s="0" t="n">
        <v>14</v>
      </c>
      <c r="O378" s="0" t="n">
        <v>0</v>
      </c>
      <c r="P378" s="0" t="n">
        <v>24</v>
      </c>
      <c r="Q378" s="0" t="n">
        <v>85</v>
      </c>
      <c r="R378" s="0" t="n">
        <v>61</v>
      </c>
      <c r="S378" s="114" t="n">
        <v>1.1</v>
      </c>
      <c r="T378" s="114" t="n">
        <v>2</v>
      </c>
      <c r="U378" s="114" t="s">
        <v>58</v>
      </c>
      <c r="V378" s="0" t="s">
        <v>58</v>
      </c>
      <c r="W378" s="0" t="s">
        <v>58</v>
      </c>
      <c r="X378" s="0" t="s">
        <v>58</v>
      </c>
      <c r="Y378" s="114" t="n">
        <v>1</v>
      </c>
      <c r="Z378" s="114" t="n">
        <v>0</v>
      </c>
      <c r="AA378" s="0" t="s">
        <v>58</v>
      </c>
      <c r="AB378" s="0" t="s">
        <v>58</v>
      </c>
      <c r="AC378" s="0" t="s">
        <v>58</v>
      </c>
      <c r="AD378" s="0" t="s">
        <v>58</v>
      </c>
      <c r="AE378" s="114" t="s">
        <v>58</v>
      </c>
      <c r="AF378" s="114" t="s">
        <v>58</v>
      </c>
      <c r="AG378" s="114" t="s">
        <v>58</v>
      </c>
      <c r="AI378" s="114"/>
      <c r="AJ378" s="114"/>
      <c r="AK378" s="114"/>
      <c r="AM378" s="114"/>
      <c r="AN378" s="114"/>
      <c r="AO378" s="114"/>
    </row>
    <row r="379" customFormat="false" ht="14.4" hidden="false" customHeight="false" outlineLevel="0" collapsed="false">
      <c r="A379" s="0" t="s">
        <v>1862</v>
      </c>
      <c r="B379" s="0" t="s">
        <v>1863</v>
      </c>
      <c r="C379" s="0" t="s">
        <v>848</v>
      </c>
      <c r="D379" s="0" t="s">
        <v>1344</v>
      </c>
      <c r="E379" s="0" t="s">
        <v>1794</v>
      </c>
      <c r="F379" s="0" t="n">
        <v>7863</v>
      </c>
      <c r="G379" s="0" t="s">
        <v>142</v>
      </c>
      <c r="H379" s="0" t="n">
        <v>168</v>
      </c>
      <c r="I379" s="0" t="n">
        <v>430</v>
      </c>
      <c r="J379" s="0" t="n">
        <v>0</v>
      </c>
      <c r="K379" s="0" t="n">
        <v>36</v>
      </c>
      <c r="L379" s="0" t="n">
        <v>241</v>
      </c>
      <c r="M379" s="0" t="n">
        <v>0</v>
      </c>
      <c r="N379" s="0" t="n">
        <v>16</v>
      </c>
      <c r="O379" s="0" t="n">
        <v>0</v>
      </c>
      <c r="P379" s="0" t="n">
        <v>32</v>
      </c>
      <c r="Q379" s="0" t="n">
        <v>0</v>
      </c>
      <c r="R379" s="0" t="n">
        <v>71</v>
      </c>
      <c r="S379" s="114" t="n">
        <v>1.8</v>
      </c>
      <c r="T379" s="114" t="n">
        <v>2</v>
      </c>
      <c r="U379" s="114" t="s">
        <v>58</v>
      </c>
      <c r="V379" s="114" t="s">
        <v>58</v>
      </c>
      <c r="W379" s="0" t="s">
        <v>58</v>
      </c>
      <c r="X379" s="0" t="s">
        <v>58</v>
      </c>
      <c r="Y379" s="114" t="n">
        <v>0.8</v>
      </c>
      <c r="Z379" s="114" t="n">
        <v>0</v>
      </c>
      <c r="AA379" s="0" t="s">
        <v>1864</v>
      </c>
      <c r="AB379" s="0" t="s">
        <v>1865</v>
      </c>
      <c r="AC379" s="0" t="s">
        <v>1866</v>
      </c>
      <c r="AD379" s="114" t="s">
        <v>58</v>
      </c>
      <c r="AE379" s="114" t="s">
        <v>58</v>
      </c>
      <c r="AF379" s="114" t="s">
        <v>58</v>
      </c>
      <c r="AG379" s="114" t="s">
        <v>58</v>
      </c>
      <c r="AH379" s="0" t="s">
        <v>1867</v>
      </c>
      <c r="AI379" s="0" t="s">
        <v>1868</v>
      </c>
      <c r="AJ379" s="0" t="s">
        <v>818</v>
      </c>
      <c r="AK379" s="114" t="s">
        <v>58</v>
      </c>
      <c r="AL379" s="0" t="s">
        <v>1869</v>
      </c>
      <c r="AM379" s="0" t="s">
        <v>1870</v>
      </c>
      <c r="AN379" s="0" t="s">
        <v>822</v>
      </c>
      <c r="AO379" s="114" t="s">
        <v>58</v>
      </c>
    </row>
    <row r="380" customFormat="false" ht="14.4" hidden="false" customHeight="false" outlineLevel="0" collapsed="false">
      <c r="A380" s="0" t="n">
        <v>418</v>
      </c>
      <c r="B380" s="0" t="s">
        <v>1871</v>
      </c>
      <c r="C380" s="0" t="s">
        <v>848</v>
      </c>
      <c r="D380" s="0" t="s">
        <v>430</v>
      </c>
      <c r="E380" s="0" t="s">
        <v>114</v>
      </c>
      <c r="F380" s="0" t="n">
        <v>7851</v>
      </c>
      <c r="G380" s="0" t="s">
        <v>142</v>
      </c>
      <c r="H380" s="0" t="n">
        <v>168</v>
      </c>
      <c r="I380" s="0" t="n">
        <v>429</v>
      </c>
      <c r="J380" s="0" t="n">
        <v>0</v>
      </c>
      <c r="K380" s="0" t="n">
        <v>37</v>
      </c>
      <c r="L380" s="0" t="n">
        <v>237</v>
      </c>
      <c r="M380" s="0" t="n">
        <v>0</v>
      </c>
      <c r="N380" s="0" t="n">
        <v>15</v>
      </c>
      <c r="O380" s="0" t="n">
        <v>0</v>
      </c>
      <c r="P380" s="0" t="n">
        <v>32</v>
      </c>
      <c r="Q380" s="0" t="n">
        <v>0</v>
      </c>
      <c r="R380" s="0" t="n">
        <v>71</v>
      </c>
      <c r="S380" s="114" t="n">
        <v>1.7</v>
      </c>
      <c r="T380" s="114" t="n">
        <v>2</v>
      </c>
      <c r="U380" s="114" t="s">
        <v>58</v>
      </c>
      <c r="V380" s="0" t="s">
        <v>58</v>
      </c>
      <c r="W380" s="0" t="s">
        <v>58</v>
      </c>
      <c r="X380" s="0" t="s">
        <v>58</v>
      </c>
      <c r="Y380" s="114" t="n">
        <v>0.7</v>
      </c>
      <c r="Z380" s="114" t="n">
        <v>0</v>
      </c>
      <c r="AA380" s="0" t="s">
        <v>1872</v>
      </c>
      <c r="AB380" s="0" t="s">
        <v>1873</v>
      </c>
      <c r="AC380" s="114" t="s">
        <v>58</v>
      </c>
      <c r="AD380" s="114" t="s">
        <v>58</v>
      </c>
      <c r="AE380" s="114" t="s">
        <v>58</v>
      </c>
      <c r="AF380" s="114" t="s">
        <v>58</v>
      </c>
      <c r="AG380" s="114" t="s">
        <v>58</v>
      </c>
      <c r="AH380" s="0" t="s">
        <v>1874</v>
      </c>
      <c r="AI380" s="114" t="s">
        <v>1875</v>
      </c>
      <c r="AJ380" s="114" t="s">
        <v>58</v>
      </c>
      <c r="AK380" s="114" t="s">
        <v>58</v>
      </c>
      <c r="AL380" s="0" t="s">
        <v>1876</v>
      </c>
      <c r="AM380" s="160" t="s">
        <v>1877</v>
      </c>
      <c r="AN380" s="114" t="s">
        <v>58</v>
      </c>
      <c r="AO380" s="114" t="s">
        <v>58</v>
      </c>
    </row>
    <row r="381" customFormat="false" ht="14.4" hidden="false" customHeight="false" outlineLevel="0" collapsed="false">
      <c r="A381" s="0" t="s">
        <v>1878</v>
      </c>
      <c r="B381" s="0" t="s">
        <v>1879</v>
      </c>
      <c r="C381" s="0" t="s">
        <v>437</v>
      </c>
      <c r="D381" s="0" t="s">
        <v>1344</v>
      </c>
      <c r="E381" s="0" t="s">
        <v>1794</v>
      </c>
      <c r="F381" s="0" t="n">
        <v>8297</v>
      </c>
      <c r="G381" s="0" t="s">
        <v>142</v>
      </c>
      <c r="H381" s="0" t="n">
        <v>163</v>
      </c>
      <c r="I381" s="0" t="n">
        <v>436</v>
      </c>
      <c r="J381" s="0" t="n">
        <v>0</v>
      </c>
      <c r="K381" s="0" t="n">
        <v>30</v>
      </c>
      <c r="L381" s="0" t="n">
        <v>409</v>
      </c>
      <c r="M381" s="0" t="n">
        <v>0</v>
      </c>
      <c r="N381" s="0" t="n">
        <v>16</v>
      </c>
      <c r="O381" s="0" t="n">
        <v>0</v>
      </c>
      <c r="P381" s="0" t="n">
        <v>33</v>
      </c>
      <c r="Q381" s="0" t="n">
        <v>0</v>
      </c>
      <c r="R381" s="0" t="n">
        <v>73</v>
      </c>
      <c r="S381" s="114" t="n">
        <v>1.65</v>
      </c>
      <c r="T381" s="114" t="n">
        <v>2</v>
      </c>
      <c r="U381" s="114" t="s">
        <v>58</v>
      </c>
      <c r="V381" s="114" t="s">
        <v>58</v>
      </c>
      <c r="W381" s="0" t="s">
        <v>58</v>
      </c>
      <c r="X381" s="0" t="s">
        <v>58</v>
      </c>
      <c r="Y381" s="114" t="n">
        <v>1.1</v>
      </c>
      <c r="Z381" s="114" t="n">
        <v>0</v>
      </c>
      <c r="AA381" s="0" t="s">
        <v>1880</v>
      </c>
      <c r="AB381" s="0" t="s">
        <v>1881</v>
      </c>
      <c r="AC381" s="114" t="s">
        <v>58</v>
      </c>
      <c r="AD381" s="114" t="s">
        <v>58</v>
      </c>
      <c r="AE381" s="114" t="s">
        <v>58</v>
      </c>
      <c r="AF381" s="114" t="s">
        <v>58</v>
      </c>
      <c r="AG381" s="114" t="s">
        <v>58</v>
      </c>
      <c r="AH381" s="0" t="s">
        <v>1882</v>
      </c>
      <c r="AI381" s="0" t="s">
        <v>1883</v>
      </c>
      <c r="AJ381" s="114" t="s">
        <v>818</v>
      </c>
      <c r="AK381" s="114" t="s">
        <v>58</v>
      </c>
      <c r="AL381" s="0" t="s">
        <v>1884</v>
      </c>
      <c r="AM381" s="0" t="s">
        <v>1885</v>
      </c>
      <c r="AN381" s="114" t="s">
        <v>822</v>
      </c>
      <c r="AO381" s="114" t="s">
        <v>58</v>
      </c>
    </row>
    <row r="382" customFormat="false" ht="14.4" hidden="false" customHeight="false" outlineLevel="0" collapsed="false">
      <c r="A382" s="0" t="n">
        <v>412</v>
      </c>
      <c r="B382" s="0" t="s">
        <v>1886</v>
      </c>
      <c r="C382" s="0" t="s">
        <v>571</v>
      </c>
      <c r="D382" s="0" t="s">
        <v>438</v>
      </c>
      <c r="E382" s="0" t="s">
        <v>114</v>
      </c>
      <c r="F382" s="0" t="n">
        <v>7030</v>
      </c>
      <c r="G382" s="0" t="s">
        <v>142</v>
      </c>
      <c r="H382" s="0" t="n">
        <v>149</v>
      </c>
      <c r="I382" s="0" t="n">
        <v>347</v>
      </c>
      <c r="J382" s="0" t="n">
        <v>151</v>
      </c>
      <c r="K382" s="0" t="n">
        <v>36</v>
      </c>
      <c r="L382" s="0" t="n">
        <v>186</v>
      </c>
      <c r="M382" s="0" t="n">
        <v>0</v>
      </c>
      <c r="N382" s="0" t="n">
        <v>14</v>
      </c>
      <c r="O382" s="0" t="n">
        <v>0</v>
      </c>
      <c r="P382" s="0" t="n">
        <v>27</v>
      </c>
      <c r="Q382" s="0" t="n">
        <v>65</v>
      </c>
      <c r="R382" s="0" t="n">
        <v>64</v>
      </c>
      <c r="S382" s="114" t="n">
        <v>1.25</v>
      </c>
      <c r="T382" s="114" t="n">
        <v>1.5</v>
      </c>
      <c r="U382" s="114" t="s">
        <v>58</v>
      </c>
      <c r="V382" s="0" t="s">
        <v>58</v>
      </c>
      <c r="W382" s="0" t="s">
        <v>58</v>
      </c>
      <c r="X382" s="0" t="s">
        <v>58</v>
      </c>
      <c r="Y382" s="114" t="n">
        <v>0.7</v>
      </c>
      <c r="Z382" s="114" t="n">
        <v>0</v>
      </c>
      <c r="AA382" s="154" t="s">
        <v>1828</v>
      </c>
      <c r="AB382" s="154" t="s">
        <v>1887</v>
      </c>
      <c r="AC382" s="0" t="s">
        <v>1888</v>
      </c>
      <c r="AD382" s="114" t="s">
        <v>58</v>
      </c>
      <c r="AE382" s="114" t="s">
        <v>58</v>
      </c>
      <c r="AF382" s="114" t="s">
        <v>58</v>
      </c>
      <c r="AG382" s="114" t="s">
        <v>58</v>
      </c>
      <c r="AH382" s="154" t="s">
        <v>1889</v>
      </c>
      <c r="AI382" s="154" t="s">
        <v>1829</v>
      </c>
      <c r="AJ382" s="0" t="s">
        <v>58</v>
      </c>
      <c r="AK382" s="114" t="s">
        <v>58</v>
      </c>
      <c r="AL382" s="154" t="s">
        <v>1890</v>
      </c>
      <c r="AM382" s="154" t="s">
        <v>1828</v>
      </c>
      <c r="AN382" s="0" t="s">
        <v>58</v>
      </c>
      <c r="AO382" s="114" t="s">
        <v>58</v>
      </c>
    </row>
    <row r="383" customFormat="false" ht="14.4" hidden="false" customHeight="false" outlineLevel="0" collapsed="false">
      <c r="A383" s="0" t="n">
        <v>249</v>
      </c>
      <c r="B383" s="0" t="s">
        <v>1891</v>
      </c>
      <c r="C383" s="0" t="s">
        <v>1065</v>
      </c>
      <c r="D383" s="0" t="s">
        <v>438</v>
      </c>
      <c r="E383" s="0" t="s">
        <v>1794</v>
      </c>
      <c r="F383" s="0" t="n">
        <v>7455</v>
      </c>
      <c r="G383" s="0" t="s">
        <v>140</v>
      </c>
      <c r="H383" s="0" t="n">
        <v>157</v>
      </c>
      <c r="I383" s="0" t="n">
        <v>366</v>
      </c>
      <c r="J383" s="0" t="n">
        <v>154</v>
      </c>
      <c r="K383" s="0" t="n">
        <v>38</v>
      </c>
      <c r="L383" s="0" t="n">
        <v>248</v>
      </c>
      <c r="M383" s="0" t="n">
        <v>0</v>
      </c>
      <c r="N383" s="0" t="n">
        <v>13</v>
      </c>
      <c r="O383" s="0" t="n">
        <v>0</v>
      </c>
      <c r="P383" s="0" t="n">
        <v>31</v>
      </c>
      <c r="Q383" s="114" t="n">
        <v>64</v>
      </c>
      <c r="R383" s="0" t="n">
        <v>66</v>
      </c>
      <c r="S383" s="114" t="n">
        <v>1.35</v>
      </c>
      <c r="T383" s="114" t="n">
        <v>1.5</v>
      </c>
      <c r="U383" s="114" t="s">
        <v>58</v>
      </c>
      <c r="V383" s="0" t="s">
        <v>58</v>
      </c>
      <c r="W383" s="0" t="s">
        <v>58</v>
      </c>
      <c r="X383" s="0" t="s">
        <v>58</v>
      </c>
      <c r="Y383" s="114" t="n">
        <v>0.7</v>
      </c>
      <c r="Z383" s="114" t="n">
        <v>0</v>
      </c>
      <c r="AA383" s="0" t="s">
        <v>1892</v>
      </c>
      <c r="AB383" s="114" t="s">
        <v>58</v>
      </c>
      <c r="AC383" s="114" t="s">
        <v>58</v>
      </c>
      <c r="AD383" s="114" t="s">
        <v>58</v>
      </c>
      <c r="AE383" s="114" t="s">
        <v>58</v>
      </c>
      <c r="AF383" s="114" t="s">
        <v>58</v>
      </c>
      <c r="AG383" s="114" t="s">
        <v>58</v>
      </c>
      <c r="AH383" s="0" t="s">
        <v>1893</v>
      </c>
      <c r="AI383" s="114" t="s">
        <v>1894</v>
      </c>
      <c r="AJ383" s="114" t="s">
        <v>58</v>
      </c>
      <c r="AK383" s="114" t="s">
        <v>58</v>
      </c>
      <c r="AL383" s="0" t="s">
        <v>1895</v>
      </c>
      <c r="AM383" s="114" t="s">
        <v>1892</v>
      </c>
      <c r="AN383" s="114" t="s">
        <v>58</v>
      </c>
      <c r="AO383" s="114" t="s">
        <v>58</v>
      </c>
    </row>
    <row r="384" customFormat="false" ht="14.4" hidden="false" customHeight="false" outlineLevel="0" collapsed="false">
      <c r="A384" s="0" t="n">
        <v>206</v>
      </c>
      <c r="B384" s="0" t="s">
        <v>1896</v>
      </c>
      <c r="C384" s="0" t="s">
        <v>429</v>
      </c>
      <c r="D384" s="0" t="s">
        <v>438</v>
      </c>
      <c r="E384" s="0" t="s">
        <v>1794</v>
      </c>
      <c r="F384" s="0" t="n">
        <v>6604</v>
      </c>
      <c r="G384" s="0" t="s">
        <v>140</v>
      </c>
      <c r="H384" s="0" t="n">
        <v>159</v>
      </c>
      <c r="I384" s="0" t="n">
        <v>360</v>
      </c>
      <c r="J384" s="0" t="n">
        <v>0</v>
      </c>
      <c r="K384" s="0" t="n">
        <v>37</v>
      </c>
      <c r="L384" s="0" t="n">
        <v>273</v>
      </c>
      <c r="M384" s="0" t="n">
        <v>0</v>
      </c>
      <c r="N384" s="0" t="n">
        <v>14</v>
      </c>
      <c r="O384" s="0" t="n">
        <v>0</v>
      </c>
      <c r="P384" s="0" t="n">
        <v>30</v>
      </c>
      <c r="Q384" s="114" t="n">
        <v>47</v>
      </c>
      <c r="R384" s="0" t="n">
        <v>68</v>
      </c>
      <c r="S384" s="114" t="n">
        <v>1.45</v>
      </c>
      <c r="T384" s="114" t="n">
        <v>1.5</v>
      </c>
      <c r="U384" s="114" t="s">
        <v>58</v>
      </c>
      <c r="V384" s="0" t="s">
        <v>58</v>
      </c>
      <c r="W384" s="0" t="s">
        <v>58</v>
      </c>
      <c r="X384" s="0" t="s">
        <v>58</v>
      </c>
      <c r="Y384" s="114" t="n">
        <v>0.9</v>
      </c>
      <c r="Z384" s="114" t="n">
        <v>0</v>
      </c>
      <c r="AA384" s="114" t="s">
        <v>58</v>
      </c>
      <c r="AB384" s="114" t="s">
        <v>58</v>
      </c>
      <c r="AC384" s="114" t="s">
        <v>58</v>
      </c>
      <c r="AD384" s="114" t="s">
        <v>58</v>
      </c>
      <c r="AE384" s="114" t="s">
        <v>58</v>
      </c>
      <c r="AF384" s="114" t="s">
        <v>58</v>
      </c>
      <c r="AG384" s="114" t="s">
        <v>58</v>
      </c>
      <c r="AH384" s="114" t="s">
        <v>1897</v>
      </c>
      <c r="AI384" s="114" t="s">
        <v>58</v>
      </c>
      <c r="AJ384" s="114" t="s">
        <v>58</v>
      </c>
      <c r="AK384" s="114" t="s">
        <v>58</v>
      </c>
      <c r="AL384" s="114" t="s">
        <v>1898</v>
      </c>
      <c r="AM384" s="114" t="s">
        <v>58</v>
      </c>
      <c r="AN384" s="114" t="s">
        <v>58</v>
      </c>
      <c r="AO384" s="114" t="s">
        <v>58</v>
      </c>
    </row>
    <row r="385" customFormat="false" ht="14.4" hidden="false" customHeight="false" outlineLevel="0" collapsed="false">
      <c r="A385" s="0" t="n">
        <v>205</v>
      </c>
      <c r="B385" s="0" t="s">
        <v>1899</v>
      </c>
      <c r="C385" s="0" t="s">
        <v>429</v>
      </c>
      <c r="D385" s="0" t="s">
        <v>438</v>
      </c>
      <c r="E385" s="0" t="s">
        <v>1794</v>
      </c>
      <c r="F385" s="0" t="n">
        <v>6604</v>
      </c>
      <c r="G385" s="0" t="s">
        <v>140</v>
      </c>
      <c r="H385" s="0" t="n">
        <v>160</v>
      </c>
      <c r="I385" s="0" t="n">
        <v>367</v>
      </c>
      <c r="J385" s="0" t="n">
        <v>0</v>
      </c>
      <c r="K385" s="0" t="n">
        <v>37</v>
      </c>
      <c r="L385" s="0" t="n">
        <v>273</v>
      </c>
      <c r="M385" s="0" t="n">
        <v>0</v>
      </c>
      <c r="N385" s="0" t="n">
        <v>14</v>
      </c>
      <c r="O385" s="0" t="n">
        <v>0</v>
      </c>
      <c r="P385" s="0" t="n">
        <v>30</v>
      </c>
      <c r="Q385" s="114" t="n">
        <v>37</v>
      </c>
      <c r="R385" s="0" t="n">
        <v>68</v>
      </c>
      <c r="S385" s="114" t="n">
        <v>1.35</v>
      </c>
      <c r="T385" s="114" t="n">
        <v>1.5</v>
      </c>
      <c r="U385" s="114" t="s">
        <v>58</v>
      </c>
      <c r="V385" s="0" t="s">
        <v>58</v>
      </c>
      <c r="W385" s="0" t="s">
        <v>58</v>
      </c>
      <c r="X385" s="0" t="s">
        <v>58</v>
      </c>
      <c r="Y385" s="114" t="n">
        <v>0.9</v>
      </c>
      <c r="Z385" s="114" t="n">
        <v>0</v>
      </c>
      <c r="AA385" s="114" t="s">
        <v>58</v>
      </c>
      <c r="AB385" s="114" t="s">
        <v>58</v>
      </c>
      <c r="AC385" s="114" t="s">
        <v>58</v>
      </c>
      <c r="AD385" s="114" t="s">
        <v>58</v>
      </c>
      <c r="AE385" s="114" t="s">
        <v>58</v>
      </c>
      <c r="AF385" s="114" t="s">
        <v>58</v>
      </c>
      <c r="AG385" s="114" t="s">
        <v>58</v>
      </c>
      <c r="AH385" s="114" t="s">
        <v>1900</v>
      </c>
      <c r="AI385" s="114" t="s">
        <v>58</v>
      </c>
      <c r="AJ385" s="114" t="s">
        <v>58</v>
      </c>
      <c r="AK385" s="114" t="s">
        <v>58</v>
      </c>
      <c r="AL385" s="114" t="s">
        <v>1901</v>
      </c>
      <c r="AM385" s="114" t="s">
        <v>58</v>
      </c>
      <c r="AN385" s="114" t="s">
        <v>58</v>
      </c>
      <c r="AO385" s="114" t="s">
        <v>58</v>
      </c>
    </row>
    <row r="386" customFormat="false" ht="14.4" hidden="false" customHeight="false" outlineLevel="0" collapsed="false">
      <c r="A386" s="0" t="n">
        <v>129</v>
      </c>
      <c r="B386" s="0" t="s">
        <v>1902</v>
      </c>
      <c r="C386" s="0" t="s">
        <v>471</v>
      </c>
      <c r="D386" s="0" t="s">
        <v>430</v>
      </c>
      <c r="E386" s="0" t="s">
        <v>1794</v>
      </c>
      <c r="F386" s="0" t="n">
        <v>8445</v>
      </c>
      <c r="G386" s="0" t="s">
        <v>140</v>
      </c>
      <c r="H386" s="0" t="n">
        <v>159</v>
      </c>
      <c r="I386" s="0" t="n">
        <v>343</v>
      </c>
      <c r="J386" s="0" t="n">
        <v>0</v>
      </c>
      <c r="K386" s="0" t="n">
        <v>37</v>
      </c>
      <c r="L386" s="0" t="n">
        <v>323</v>
      </c>
      <c r="M386" s="0" t="n">
        <v>0</v>
      </c>
      <c r="N386" s="0" t="n">
        <v>14</v>
      </c>
      <c r="O386" s="0" t="n">
        <v>0</v>
      </c>
      <c r="P386" s="0" t="n">
        <v>31</v>
      </c>
      <c r="Q386" s="114" t="n">
        <v>38</v>
      </c>
      <c r="R386" s="0" t="n">
        <v>68</v>
      </c>
      <c r="S386" s="114" t="n">
        <v>1.4</v>
      </c>
      <c r="T386" s="114" t="n">
        <v>1.5</v>
      </c>
      <c r="U386" s="114" t="s">
        <v>58</v>
      </c>
      <c r="V386" s="0" t="s">
        <v>58</v>
      </c>
      <c r="W386" s="0" t="s">
        <v>58</v>
      </c>
      <c r="X386" s="0" t="s">
        <v>58</v>
      </c>
      <c r="Y386" s="114" t="n">
        <v>1</v>
      </c>
      <c r="Z386" s="114" t="n">
        <v>0</v>
      </c>
      <c r="AA386" s="0" t="s">
        <v>1903</v>
      </c>
      <c r="AC386" s="114" t="s">
        <v>58</v>
      </c>
      <c r="AD386" s="114" t="s">
        <v>58</v>
      </c>
      <c r="AE386" s="114" t="s">
        <v>58</v>
      </c>
      <c r="AF386" s="114" t="s">
        <v>58</v>
      </c>
      <c r="AG386" s="114" t="s">
        <v>58</v>
      </c>
      <c r="AH386" s="0" t="s">
        <v>1904</v>
      </c>
      <c r="AI386" s="0" t="s">
        <v>58</v>
      </c>
      <c r="AJ386" s="114" t="s">
        <v>58</v>
      </c>
      <c r="AK386" s="114" t="s">
        <v>58</v>
      </c>
      <c r="AL386" s="0" t="s">
        <v>1903</v>
      </c>
      <c r="AM386" s="0" t="s">
        <v>58</v>
      </c>
      <c r="AN386" s="114" t="s">
        <v>58</v>
      </c>
      <c r="AO386" s="114" t="s">
        <v>58</v>
      </c>
    </row>
    <row r="387" customFormat="false" ht="14.4" hidden="false" customHeight="false" outlineLevel="0" collapsed="false">
      <c r="B387" s="0" t="s">
        <v>1905</v>
      </c>
      <c r="C387" s="0" t="s">
        <v>471</v>
      </c>
      <c r="D387" s="0" t="s">
        <v>430</v>
      </c>
      <c r="E387" s="0" t="s">
        <v>114</v>
      </c>
      <c r="F387" s="0" t="n">
        <v>7967</v>
      </c>
      <c r="G387" s="0" t="s">
        <v>142</v>
      </c>
      <c r="H387" s="0" t="n">
        <v>159</v>
      </c>
      <c r="I387" s="0" t="n">
        <v>418</v>
      </c>
      <c r="J387" s="0" t="n">
        <v>0</v>
      </c>
      <c r="K387" s="0" t="n">
        <v>35</v>
      </c>
      <c r="L387" s="0" t="n">
        <v>258</v>
      </c>
      <c r="M387" s="0" t="n">
        <v>0</v>
      </c>
      <c r="N387" s="0" t="n">
        <v>15</v>
      </c>
      <c r="O387" s="0" t="n">
        <v>0</v>
      </c>
      <c r="P387" s="0" t="n">
        <v>28</v>
      </c>
      <c r="Q387" s="0" t="n">
        <v>83</v>
      </c>
      <c r="R387" s="0" t="n">
        <v>70</v>
      </c>
      <c r="S387" s="114" t="n">
        <v>1.4</v>
      </c>
      <c r="T387" s="114" t="n">
        <v>2</v>
      </c>
      <c r="U387" s="114" t="s">
        <v>58</v>
      </c>
      <c r="V387" s="0" t="s">
        <v>58</v>
      </c>
      <c r="W387" s="0" t="s">
        <v>58</v>
      </c>
      <c r="X387" s="0" t="s">
        <v>58</v>
      </c>
      <c r="Y387" s="114" t="n">
        <v>1</v>
      </c>
      <c r="Z387" s="114" t="n">
        <v>0</v>
      </c>
      <c r="AA387" s="0" t="s">
        <v>1905</v>
      </c>
      <c r="AE387" s="114"/>
      <c r="AF387" s="114"/>
      <c r="AG387" s="114"/>
      <c r="AI387" s="114"/>
      <c r="AJ387" s="114"/>
      <c r="AK387" s="114"/>
      <c r="AM387" s="114"/>
      <c r="AN387" s="114"/>
      <c r="AO387" s="114"/>
    </row>
    <row r="388" customFormat="false" ht="15" hidden="false" customHeight="true" outlineLevel="0" collapsed="false">
      <c r="A388" s="0" t="n">
        <v>211</v>
      </c>
      <c r="B388" s="0" t="s">
        <v>1906</v>
      </c>
      <c r="C388" s="0" t="s">
        <v>429</v>
      </c>
      <c r="D388" s="0" t="s">
        <v>472</v>
      </c>
      <c r="E388" s="0" t="s">
        <v>1794</v>
      </c>
      <c r="F388" s="0" t="n">
        <v>7124</v>
      </c>
      <c r="G388" s="0" t="s">
        <v>142</v>
      </c>
      <c r="H388" s="0" t="n">
        <v>141</v>
      </c>
      <c r="I388" s="0" t="n">
        <v>398</v>
      </c>
      <c r="J388" s="0" t="n">
        <v>0</v>
      </c>
      <c r="K388" s="0" t="n">
        <v>31</v>
      </c>
      <c r="L388" s="0" t="n">
        <v>229</v>
      </c>
      <c r="M388" s="0" t="n">
        <v>0</v>
      </c>
      <c r="N388" s="0" t="n">
        <v>13</v>
      </c>
      <c r="O388" s="0" t="n">
        <v>0</v>
      </c>
      <c r="P388" s="0" t="n">
        <v>23</v>
      </c>
      <c r="Q388" s="114" t="n">
        <v>60</v>
      </c>
      <c r="R388" s="0" t="n">
        <v>70</v>
      </c>
      <c r="S388" s="114" t="n">
        <v>1.35</v>
      </c>
      <c r="T388" s="114" t="n">
        <v>1.8</v>
      </c>
      <c r="U388" s="114" t="s">
        <v>58</v>
      </c>
      <c r="V388" s="0" t="s">
        <v>58</v>
      </c>
      <c r="W388" s="0" t="s">
        <v>58</v>
      </c>
      <c r="X388" s="0" t="s">
        <v>58</v>
      </c>
      <c r="Y388" s="114" t="n">
        <v>0.8</v>
      </c>
      <c r="Z388" s="114" t="n">
        <v>0</v>
      </c>
      <c r="AA388" s="114" t="s">
        <v>58</v>
      </c>
      <c r="AB388" s="114" t="s">
        <v>58</v>
      </c>
      <c r="AC388" s="114" t="s">
        <v>58</v>
      </c>
      <c r="AD388" s="114" t="s">
        <v>58</v>
      </c>
      <c r="AE388" s="114" t="s">
        <v>58</v>
      </c>
      <c r="AF388" s="114" t="s">
        <v>58</v>
      </c>
      <c r="AG388" s="114" t="s">
        <v>58</v>
      </c>
      <c r="AH388" s="114" t="s">
        <v>1907</v>
      </c>
      <c r="AI388" s="114" t="s">
        <v>1480</v>
      </c>
      <c r="AJ388" s="114" t="s">
        <v>58</v>
      </c>
      <c r="AK388" s="114" t="s">
        <v>58</v>
      </c>
      <c r="AL388" s="114" t="s">
        <v>1908</v>
      </c>
      <c r="AM388" s="114" t="s">
        <v>1482</v>
      </c>
      <c r="AN388" s="114" t="s">
        <v>58</v>
      </c>
      <c r="AO388" s="114" t="s">
        <v>58</v>
      </c>
    </row>
    <row r="389" customFormat="false" ht="14.4" hidden="false" customHeight="false" outlineLevel="0" collapsed="false">
      <c r="A389" s="0" t="n">
        <v>3211</v>
      </c>
      <c r="B389" s="0" t="s">
        <v>1909</v>
      </c>
      <c r="C389" s="0" t="s">
        <v>429</v>
      </c>
      <c r="D389" s="0" t="s">
        <v>438</v>
      </c>
      <c r="E389" s="0" t="s">
        <v>1857</v>
      </c>
      <c r="F389" s="0" t="n">
        <v>7243</v>
      </c>
      <c r="G389" s="0" t="s">
        <v>142</v>
      </c>
      <c r="H389" s="0" t="n">
        <v>132</v>
      </c>
      <c r="I389" s="0" t="n">
        <v>389</v>
      </c>
      <c r="J389" s="0" t="n">
        <v>0</v>
      </c>
      <c r="K389" s="0" t="n">
        <v>31</v>
      </c>
      <c r="L389" s="0" t="n">
        <v>373</v>
      </c>
      <c r="M389" s="0" t="n">
        <v>275</v>
      </c>
      <c r="N389" s="0" t="n">
        <v>13</v>
      </c>
      <c r="O389" s="0" t="n">
        <v>0</v>
      </c>
      <c r="P389" s="0" t="n">
        <v>23</v>
      </c>
      <c r="Q389" s="114" t="n">
        <v>60</v>
      </c>
      <c r="R389" s="0" t="n">
        <v>87</v>
      </c>
      <c r="S389" s="114" t="n">
        <v>1.75</v>
      </c>
      <c r="T389" s="114" t="n">
        <v>2</v>
      </c>
      <c r="U389" s="114" t="s">
        <v>58</v>
      </c>
      <c r="V389" s="0" t="s">
        <v>1858</v>
      </c>
      <c r="W389" s="0" t="s">
        <v>58</v>
      </c>
      <c r="X389" s="0" t="n">
        <v>3</v>
      </c>
      <c r="Y389" s="114" t="n">
        <v>0.95</v>
      </c>
      <c r="Z389" s="114" t="n">
        <v>0</v>
      </c>
      <c r="AA389" s="0" t="s">
        <v>1910</v>
      </c>
      <c r="AB389" s="114" t="s">
        <v>58</v>
      </c>
      <c r="AC389" s="114" t="s">
        <v>58</v>
      </c>
      <c r="AD389" s="114" t="s">
        <v>58</v>
      </c>
      <c r="AE389" s="114" t="s">
        <v>58</v>
      </c>
      <c r="AF389" s="114" t="s">
        <v>58</v>
      </c>
      <c r="AG389" s="114" t="s">
        <v>58</v>
      </c>
      <c r="AH389" s="0" t="s">
        <v>1907</v>
      </c>
      <c r="AI389" s="114" t="s">
        <v>1480</v>
      </c>
      <c r="AJ389" s="114" t="s">
        <v>1911</v>
      </c>
      <c r="AK389" s="114" t="s">
        <v>58</v>
      </c>
      <c r="AL389" s="0" t="s">
        <v>1908</v>
      </c>
      <c r="AM389" s="114" t="s">
        <v>1482</v>
      </c>
      <c r="AN389" s="114" t="s">
        <v>1910</v>
      </c>
      <c r="AO389" s="114" t="s">
        <v>58</v>
      </c>
    </row>
    <row r="390" customFormat="false" ht="14.4" hidden="false" customHeight="false" outlineLevel="0" collapsed="false">
      <c r="A390" s="0" t="n">
        <v>210</v>
      </c>
      <c r="B390" s="0" t="s">
        <v>1912</v>
      </c>
      <c r="C390" s="0" t="s">
        <v>429</v>
      </c>
      <c r="D390" s="0" t="s">
        <v>472</v>
      </c>
      <c r="E390" s="0" t="s">
        <v>1794</v>
      </c>
      <c r="F390" s="0" t="n">
        <v>7124</v>
      </c>
      <c r="G390" s="0" t="s">
        <v>142</v>
      </c>
      <c r="H390" s="0" t="n">
        <v>141</v>
      </c>
      <c r="I390" s="0" t="n">
        <v>398</v>
      </c>
      <c r="J390" s="0" t="n">
        <v>0</v>
      </c>
      <c r="K390" s="0" t="n">
        <v>31</v>
      </c>
      <c r="L390" s="0" t="n">
        <v>229</v>
      </c>
      <c r="M390" s="0" t="n">
        <v>0</v>
      </c>
      <c r="N390" s="0" t="n">
        <v>13</v>
      </c>
      <c r="O390" s="0" t="n">
        <v>0</v>
      </c>
      <c r="P390" s="0" t="n">
        <v>23</v>
      </c>
      <c r="Q390" s="114" t="n">
        <v>60</v>
      </c>
      <c r="R390" s="0" t="n">
        <v>70</v>
      </c>
      <c r="S390" s="114" t="n">
        <v>1.4</v>
      </c>
      <c r="T390" s="114" t="n">
        <v>2</v>
      </c>
      <c r="U390" s="114" t="s">
        <v>58</v>
      </c>
      <c r="V390" s="0" t="s">
        <v>58</v>
      </c>
      <c r="W390" s="0" t="s">
        <v>58</v>
      </c>
      <c r="X390" s="0" t="s">
        <v>58</v>
      </c>
      <c r="Y390" s="114" t="n">
        <v>0.8</v>
      </c>
      <c r="Z390" s="114" t="n">
        <v>0</v>
      </c>
      <c r="AA390" s="114" t="s">
        <v>58</v>
      </c>
      <c r="AB390" s="114" t="s">
        <v>58</v>
      </c>
      <c r="AC390" s="114" t="s">
        <v>58</v>
      </c>
      <c r="AD390" s="114" t="s">
        <v>58</v>
      </c>
      <c r="AE390" s="114" t="s">
        <v>58</v>
      </c>
      <c r="AF390" s="114" t="s">
        <v>58</v>
      </c>
      <c r="AG390" s="114" t="s">
        <v>58</v>
      </c>
      <c r="AH390" s="114" t="s">
        <v>1480</v>
      </c>
      <c r="AI390" s="114" t="s">
        <v>58</v>
      </c>
      <c r="AJ390" s="114" t="s">
        <v>58</v>
      </c>
      <c r="AK390" s="114" t="s">
        <v>58</v>
      </c>
      <c r="AL390" s="114" t="s">
        <v>1482</v>
      </c>
      <c r="AM390" s="114" t="s">
        <v>58</v>
      </c>
      <c r="AN390" s="114" t="s">
        <v>58</v>
      </c>
      <c r="AO390" s="114" t="s">
        <v>58</v>
      </c>
    </row>
    <row r="391" customFormat="false" ht="14.4" hidden="false" customHeight="false" outlineLevel="0" collapsed="false">
      <c r="A391" s="0" t="n">
        <v>3210</v>
      </c>
      <c r="B391" s="0" t="s">
        <v>305</v>
      </c>
      <c r="C391" s="0" t="s">
        <v>429</v>
      </c>
      <c r="D391" s="0" t="s">
        <v>438</v>
      </c>
      <c r="E391" s="0" t="s">
        <v>1857</v>
      </c>
      <c r="F391" s="0" t="n">
        <v>7243</v>
      </c>
      <c r="G391" s="0" t="s">
        <v>142</v>
      </c>
      <c r="H391" s="0" t="n">
        <v>132</v>
      </c>
      <c r="I391" s="0" t="n">
        <v>389</v>
      </c>
      <c r="J391" s="0" t="n">
        <v>0</v>
      </c>
      <c r="K391" s="0" t="n">
        <v>31</v>
      </c>
      <c r="L391" s="0" t="n">
        <v>373</v>
      </c>
      <c r="M391" s="0" t="n">
        <v>275</v>
      </c>
      <c r="N391" s="0" t="n">
        <v>13</v>
      </c>
      <c r="O391" s="0" t="n">
        <v>0</v>
      </c>
      <c r="P391" s="0" t="n">
        <v>23</v>
      </c>
      <c r="Q391" s="114" t="n">
        <v>60</v>
      </c>
      <c r="R391" s="0" t="n">
        <v>87</v>
      </c>
      <c r="S391" s="114" t="n">
        <v>1.8</v>
      </c>
      <c r="T391" s="114" t="n">
        <v>1.8</v>
      </c>
      <c r="U391" s="114" t="s">
        <v>58</v>
      </c>
      <c r="V391" s="0" t="s">
        <v>1858</v>
      </c>
      <c r="W391" s="0" t="s">
        <v>58</v>
      </c>
      <c r="X391" s="0" t="n">
        <v>3</v>
      </c>
      <c r="Y391" s="114" t="n">
        <v>0.95</v>
      </c>
      <c r="Z391" s="114" t="n">
        <v>0</v>
      </c>
      <c r="AA391" s="0" t="s">
        <v>1913</v>
      </c>
      <c r="AB391" s="0" t="s">
        <v>1914</v>
      </c>
      <c r="AC391" s="114" t="s">
        <v>58</v>
      </c>
      <c r="AD391" s="114" t="s">
        <v>58</v>
      </c>
      <c r="AE391" s="114" t="s">
        <v>58</v>
      </c>
      <c r="AF391" s="114" t="s">
        <v>58</v>
      </c>
      <c r="AG391" s="114" t="s">
        <v>58</v>
      </c>
      <c r="AH391" s="0" t="s">
        <v>1480</v>
      </c>
      <c r="AI391" s="0" t="s">
        <v>1915</v>
      </c>
      <c r="AJ391" s="114" t="s">
        <v>58</v>
      </c>
      <c r="AK391" s="114" t="s">
        <v>58</v>
      </c>
      <c r="AL391" s="0" t="s">
        <v>1482</v>
      </c>
      <c r="AM391" s="0" t="s">
        <v>1916</v>
      </c>
      <c r="AN391" s="114" t="s">
        <v>58</v>
      </c>
      <c r="AO391" s="114" t="s">
        <v>58</v>
      </c>
    </row>
    <row r="392" customFormat="false" ht="14.4" hidden="false" customHeight="false" outlineLevel="0" collapsed="false">
      <c r="A392" s="0" t="s">
        <v>1917</v>
      </c>
      <c r="B392" s="0" t="s">
        <v>1918</v>
      </c>
      <c r="C392" s="0" t="s">
        <v>429</v>
      </c>
      <c r="D392" s="0" t="s">
        <v>1344</v>
      </c>
      <c r="E392" s="0" t="s">
        <v>1794</v>
      </c>
      <c r="F392" s="0" t="n">
        <v>8607</v>
      </c>
      <c r="G392" s="0" t="s">
        <v>142</v>
      </c>
      <c r="H392" s="0" t="n">
        <v>146</v>
      </c>
      <c r="I392" s="0" t="n">
        <v>428</v>
      </c>
      <c r="J392" s="0" t="n">
        <v>0</v>
      </c>
      <c r="K392" s="0" t="n">
        <v>37</v>
      </c>
      <c r="L392" s="0" t="n">
        <v>237</v>
      </c>
      <c r="M392" s="0" t="n">
        <v>0</v>
      </c>
      <c r="N392" s="0" t="n">
        <v>16</v>
      </c>
      <c r="O392" s="0" t="n">
        <v>0</v>
      </c>
      <c r="P392" s="0" t="n">
        <v>28</v>
      </c>
      <c r="Q392" s="114" t="n">
        <v>0</v>
      </c>
      <c r="R392" s="0" t="n">
        <v>66</v>
      </c>
      <c r="S392" s="114" t="n">
        <v>1.4</v>
      </c>
      <c r="T392" s="114" t="n">
        <v>2.1</v>
      </c>
      <c r="U392" s="114" t="s">
        <v>58</v>
      </c>
      <c r="V392" s="114" t="s">
        <v>58</v>
      </c>
      <c r="W392" s="0" t="s">
        <v>58</v>
      </c>
      <c r="X392" s="0" t="s">
        <v>58</v>
      </c>
      <c r="Y392" s="114" t="n">
        <v>0.8</v>
      </c>
      <c r="Z392" s="114" t="n">
        <v>0</v>
      </c>
      <c r="AA392" s="0" t="s">
        <v>1919</v>
      </c>
      <c r="AB392" s="0" t="s">
        <v>1920</v>
      </c>
      <c r="AC392" s="114" t="s">
        <v>58</v>
      </c>
      <c r="AD392" s="114" t="s">
        <v>58</v>
      </c>
      <c r="AE392" s="114" t="s">
        <v>58</v>
      </c>
      <c r="AF392" s="114" t="s">
        <v>58</v>
      </c>
      <c r="AG392" s="114" t="s">
        <v>58</v>
      </c>
      <c r="AH392" s="0" t="s">
        <v>1921</v>
      </c>
      <c r="AI392" s="0" t="s">
        <v>1922</v>
      </c>
      <c r="AJ392" s="114" t="s">
        <v>818</v>
      </c>
      <c r="AK392" s="114" t="s">
        <v>58</v>
      </c>
      <c r="AL392" s="0" t="s">
        <v>1923</v>
      </c>
      <c r="AM392" s="0" t="s">
        <v>1924</v>
      </c>
      <c r="AN392" s="114" t="s">
        <v>822</v>
      </c>
      <c r="AO392" s="114" t="s">
        <v>58</v>
      </c>
    </row>
    <row r="393" customFormat="false" ht="14.4" hidden="false" customHeight="false" outlineLevel="0" collapsed="false">
      <c r="A393" s="0" t="n">
        <v>353</v>
      </c>
      <c r="B393" s="0" t="s">
        <v>1925</v>
      </c>
      <c r="C393" s="0" t="s">
        <v>848</v>
      </c>
      <c r="D393" s="0" t="s">
        <v>430</v>
      </c>
      <c r="E393" s="0" t="s">
        <v>1794</v>
      </c>
      <c r="F393" s="0" t="n">
        <v>8036</v>
      </c>
      <c r="G393" s="0" t="s">
        <v>142</v>
      </c>
      <c r="H393" s="0" t="n">
        <v>179</v>
      </c>
      <c r="I393" s="0" t="n">
        <v>419</v>
      </c>
      <c r="J393" s="0" t="n">
        <v>0</v>
      </c>
      <c r="K393" s="0" t="n">
        <v>42</v>
      </c>
      <c r="L393" s="0" t="n">
        <v>241</v>
      </c>
      <c r="M393" s="0" t="n">
        <v>0</v>
      </c>
      <c r="N393" s="0" t="n">
        <v>15</v>
      </c>
      <c r="O393" s="0" t="n">
        <v>0</v>
      </c>
      <c r="P393" s="0" t="n">
        <v>32</v>
      </c>
      <c r="Q393" s="114" t="n">
        <v>17</v>
      </c>
      <c r="R393" s="0" t="n">
        <v>66</v>
      </c>
      <c r="S393" s="114" t="n">
        <v>1.6</v>
      </c>
      <c r="T393" s="114" t="n">
        <v>2</v>
      </c>
      <c r="U393" s="114" t="s">
        <v>58</v>
      </c>
      <c r="V393" s="0" t="s">
        <v>58</v>
      </c>
      <c r="W393" s="0" t="s">
        <v>58</v>
      </c>
      <c r="X393" s="0" t="s">
        <v>58</v>
      </c>
      <c r="Y393" s="114" t="n">
        <v>0.7</v>
      </c>
      <c r="Z393" s="114" t="n">
        <v>0</v>
      </c>
      <c r="AA393" s="114" t="s">
        <v>58</v>
      </c>
      <c r="AB393" s="114" t="s">
        <v>58</v>
      </c>
      <c r="AC393" s="114" t="s">
        <v>58</v>
      </c>
      <c r="AD393" s="114" t="s">
        <v>58</v>
      </c>
      <c r="AE393" s="114" t="s">
        <v>58</v>
      </c>
      <c r="AF393" s="114" t="s">
        <v>58</v>
      </c>
      <c r="AG393" s="114" t="s">
        <v>58</v>
      </c>
      <c r="AH393" s="114" t="s">
        <v>1926</v>
      </c>
      <c r="AI393" s="114" t="s">
        <v>1927</v>
      </c>
      <c r="AJ393" s="114" t="s">
        <v>58</v>
      </c>
      <c r="AK393" s="114" t="s">
        <v>58</v>
      </c>
      <c r="AL393" s="114" t="s">
        <v>1928</v>
      </c>
      <c r="AM393" s="114" t="s">
        <v>1929</v>
      </c>
      <c r="AN393" s="114" t="s">
        <v>58</v>
      </c>
      <c r="AO393" s="114" t="s">
        <v>58</v>
      </c>
    </row>
    <row r="394" customFormat="false" ht="14.4" hidden="false" customHeight="false" outlineLevel="0" collapsed="false">
      <c r="A394" s="0" t="n">
        <v>368</v>
      </c>
      <c r="B394" s="0" t="s">
        <v>1930</v>
      </c>
      <c r="C394" s="0" t="s">
        <v>429</v>
      </c>
      <c r="D394" s="0" t="s">
        <v>430</v>
      </c>
      <c r="E394" s="0" t="s">
        <v>1794</v>
      </c>
      <c r="F394" s="0" t="n">
        <v>8303</v>
      </c>
      <c r="G394" s="0" t="s">
        <v>142</v>
      </c>
      <c r="H394" s="0" t="n">
        <v>149</v>
      </c>
      <c r="I394" s="0" t="n">
        <v>423</v>
      </c>
      <c r="J394" s="0" t="n">
        <v>217</v>
      </c>
      <c r="K394" s="0" t="n">
        <v>39</v>
      </c>
      <c r="L394" s="0" t="n">
        <v>187</v>
      </c>
      <c r="M394" s="0" t="n">
        <v>0</v>
      </c>
      <c r="N394" s="0" t="n">
        <v>15</v>
      </c>
      <c r="O394" s="0" t="n">
        <v>0</v>
      </c>
      <c r="P394" s="0" t="n">
        <v>26</v>
      </c>
      <c r="Q394" s="114" t="n">
        <v>42</v>
      </c>
      <c r="R394" s="0" t="n">
        <v>71</v>
      </c>
      <c r="S394" s="114" t="n">
        <v>1.35</v>
      </c>
      <c r="T394" s="114" t="n">
        <v>2</v>
      </c>
      <c r="U394" s="114" t="s">
        <v>58</v>
      </c>
      <c r="V394" s="0" t="s">
        <v>58</v>
      </c>
      <c r="W394" s="0" t="s">
        <v>58</v>
      </c>
      <c r="X394" s="0" t="s">
        <v>58</v>
      </c>
      <c r="Y394" s="114" t="n">
        <v>0.9</v>
      </c>
      <c r="Z394" s="114" t="n">
        <v>0</v>
      </c>
      <c r="AA394" s="0" t="s">
        <v>1931</v>
      </c>
      <c r="AB394" s="0" t="s">
        <v>1932</v>
      </c>
      <c r="AC394" s="0" t="s">
        <v>1933</v>
      </c>
      <c r="AD394" s="114" t="s">
        <v>58</v>
      </c>
      <c r="AE394" s="114" t="s">
        <v>58</v>
      </c>
      <c r="AF394" s="114" t="s">
        <v>58</v>
      </c>
      <c r="AG394" s="114" t="s">
        <v>58</v>
      </c>
      <c r="AH394" s="0" t="s">
        <v>1934</v>
      </c>
      <c r="AI394" s="0" t="s">
        <v>1935</v>
      </c>
      <c r="AJ394" s="0" t="s">
        <v>58</v>
      </c>
      <c r="AK394" s="114" t="s">
        <v>58</v>
      </c>
      <c r="AL394" s="0" t="s">
        <v>1936</v>
      </c>
      <c r="AM394" s="0" t="s">
        <v>1937</v>
      </c>
      <c r="AN394" s="0" t="s">
        <v>58</v>
      </c>
      <c r="AO394" s="114" t="s">
        <v>58</v>
      </c>
    </row>
    <row r="395" customFormat="false" ht="14.4" hidden="false" customHeight="false" outlineLevel="0" collapsed="false">
      <c r="A395" s="0" t="n">
        <v>214</v>
      </c>
      <c r="B395" s="0" t="s">
        <v>1938</v>
      </c>
      <c r="C395" s="0" t="s">
        <v>429</v>
      </c>
      <c r="D395" s="0" t="s">
        <v>430</v>
      </c>
      <c r="E395" s="0" t="s">
        <v>114</v>
      </c>
      <c r="F395" s="0" t="n">
        <v>7945</v>
      </c>
      <c r="G395" s="0" t="s">
        <v>142</v>
      </c>
      <c r="H395" s="0" t="n">
        <v>145</v>
      </c>
      <c r="I395" s="0" t="n">
        <v>421</v>
      </c>
      <c r="J395" s="0" t="n">
        <v>0</v>
      </c>
      <c r="K395" s="0" t="n">
        <v>37</v>
      </c>
      <c r="L395" s="0" t="n">
        <v>367</v>
      </c>
      <c r="M395" s="0" t="n">
        <v>0</v>
      </c>
      <c r="N395" s="0" t="n">
        <v>15</v>
      </c>
      <c r="O395" s="0" t="n">
        <v>0</v>
      </c>
      <c r="P395" s="0" t="n">
        <v>28</v>
      </c>
      <c r="Q395" s="0" t="n">
        <v>39</v>
      </c>
      <c r="R395" s="0" t="n">
        <v>71</v>
      </c>
      <c r="S395" s="114" t="n">
        <v>1.35</v>
      </c>
      <c r="T395" s="114" t="n">
        <v>2</v>
      </c>
      <c r="U395" s="114" t="s">
        <v>58</v>
      </c>
      <c r="V395" s="0" t="s">
        <v>58</v>
      </c>
      <c r="W395" s="0" t="s">
        <v>58</v>
      </c>
      <c r="X395" s="0" t="s">
        <v>58</v>
      </c>
      <c r="Y395" s="114" t="n">
        <v>1</v>
      </c>
      <c r="Z395" s="114" t="n">
        <v>0</v>
      </c>
      <c r="AA395" s="0" t="s">
        <v>1939</v>
      </c>
      <c r="AB395" s="0" t="s">
        <v>1940</v>
      </c>
      <c r="AC395" s="0" t="s">
        <v>1941</v>
      </c>
      <c r="AD395" s="0" t="s">
        <v>1942</v>
      </c>
      <c r="AE395" s="114" t="s">
        <v>58</v>
      </c>
      <c r="AF395" s="114" t="s">
        <v>58</v>
      </c>
      <c r="AG395" s="114" t="s">
        <v>58</v>
      </c>
      <c r="AH395" s="0" t="s">
        <v>1943</v>
      </c>
      <c r="AI395" s="114" t="s">
        <v>1944</v>
      </c>
      <c r="AJ395" s="114" t="s">
        <v>58</v>
      </c>
      <c r="AK395" s="114" t="s">
        <v>58</v>
      </c>
      <c r="AL395" s="0" t="s">
        <v>1945</v>
      </c>
      <c r="AM395" s="114" t="s">
        <v>1946</v>
      </c>
      <c r="AN395" s="114" t="s">
        <v>58</v>
      </c>
      <c r="AO395" s="114" t="s">
        <v>58</v>
      </c>
    </row>
    <row r="396" customFormat="false" ht="14.4" hidden="false" customHeight="false" outlineLevel="0" collapsed="false">
      <c r="A396" s="0" t="n">
        <v>134</v>
      </c>
      <c r="B396" s="0" t="s">
        <v>1947</v>
      </c>
      <c r="C396" s="0" t="s">
        <v>471</v>
      </c>
      <c r="D396" s="0" t="s">
        <v>430</v>
      </c>
      <c r="E396" s="0" t="s">
        <v>114</v>
      </c>
      <c r="F396" s="0" t="n">
        <v>7970</v>
      </c>
      <c r="G396" s="0" t="s">
        <v>142</v>
      </c>
      <c r="H396" s="0" t="n">
        <v>156</v>
      </c>
      <c r="I396" s="0" t="n">
        <v>423</v>
      </c>
      <c r="J396" s="0" t="n">
        <v>0</v>
      </c>
      <c r="K396" s="0" t="n">
        <v>35</v>
      </c>
      <c r="L396" s="0" t="n">
        <v>264</v>
      </c>
      <c r="M396" s="0" t="n">
        <v>0</v>
      </c>
      <c r="N396" s="0" t="n">
        <v>15</v>
      </c>
      <c r="O396" s="0" t="n">
        <v>0</v>
      </c>
      <c r="P396" s="0" t="n">
        <v>28</v>
      </c>
      <c r="Q396" s="0" t="n">
        <v>77</v>
      </c>
      <c r="R396" s="0" t="n">
        <v>70</v>
      </c>
      <c r="S396" s="114" t="n">
        <v>1.35</v>
      </c>
      <c r="T396" s="114" t="n">
        <v>2</v>
      </c>
      <c r="U396" s="114" t="s">
        <v>58</v>
      </c>
      <c r="V396" s="114" t="s">
        <v>58</v>
      </c>
      <c r="W396" s="0" t="s">
        <v>58</v>
      </c>
      <c r="X396" s="0" t="s">
        <v>58</v>
      </c>
      <c r="Y396" s="114" t="n">
        <v>1</v>
      </c>
      <c r="Z396" s="114" t="n">
        <v>0</v>
      </c>
      <c r="AA396" s="0" t="s">
        <v>1948</v>
      </c>
      <c r="AB396" s="0" t="s">
        <v>1949</v>
      </c>
      <c r="AC396" s="0" t="s">
        <v>1950</v>
      </c>
      <c r="AD396" s="114" t="s">
        <v>58</v>
      </c>
      <c r="AE396" s="114" t="s">
        <v>58</v>
      </c>
      <c r="AF396" s="114" t="s">
        <v>58</v>
      </c>
      <c r="AG396" s="114" t="s">
        <v>58</v>
      </c>
      <c r="AH396" s="0" t="s">
        <v>1951</v>
      </c>
      <c r="AI396" s="0" t="s">
        <v>1952</v>
      </c>
      <c r="AJ396" s="0" t="s">
        <v>58</v>
      </c>
      <c r="AK396" s="114" t="s">
        <v>58</v>
      </c>
      <c r="AL396" s="0" t="s">
        <v>1950</v>
      </c>
      <c r="AM396" s="0" t="s">
        <v>1953</v>
      </c>
      <c r="AN396" s="0" t="s">
        <v>58</v>
      </c>
      <c r="AO396" s="114" t="s">
        <v>58</v>
      </c>
    </row>
    <row r="397" customFormat="false" ht="15" hidden="false" customHeight="true" outlineLevel="0" collapsed="false">
      <c r="A397" s="0" t="n">
        <v>207</v>
      </c>
      <c r="B397" s="0" t="s">
        <v>1954</v>
      </c>
      <c r="C397" s="0" t="s">
        <v>429</v>
      </c>
      <c r="D397" s="0" t="s">
        <v>438</v>
      </c>
      <c r="E397" s="0" t="s">
        <v>1794</v>
      </c>
      <c r="F397" s="0" t="n">
        <v>6604</v>
      </c>
      <c r="G397" s="0" t="s">
        <v>140</v>
      </c>
      <c r="H397" s="0" t="n">
        <v>160</v>
      </c>
      <c r="I397" s="0" t="n">
        <v>367</v>
      </c>
      <c r="J397" s="0" t="n">
        <v>0</v>
      </c>
      <c r="K397" s="0" t="n">
        <v>37</v>
      </c>
      <c r="L397" s="0" t="n">
        <v>273</v>
      </c>
      <c r="M397" s="0" t="n">
        <v>0</v>
      </c>
      <c r="N397" s="0" t="n">
        <v>14</v>
      </c>
      <c r="O397" s="0" t="n">
        <v>0</v>
      </c>
      <c r="P397" s="0" t="n">
        <v>30</v>
      </c>
      <c r="Q397" s="114" t="n">
        <v>37</v>
      </c>
      <c r="R397" s="0" t="n">
        <v>68</v>
      </c>
      <c r="S397" s="114" t="n">
        <v>1.45</v>
      </c>
      <c r="T397" s="114" t="n">
        <v>1.5</v>
      </c>
      <c r="U397" s="0" t="s">
        <v>58</v>
      </c>
      <c r="V397" s="0" t="s">
        <v>58</v>
      </c>
      <c r="W397" s="0" t="s">
        <v>58</v>
      </c>
      <c r="X397" s="0" t="s">
        <v>58</v>
      </c>
      <c r="Y397" s="114" t="n">
        <v>0.9</v>
      </c>
      <c r="Z397" s="114" t="n">
        <v>0</v>
      </c>
      <c r="AA397" s="0" t="s">
        <v>1955</v>
      </c>
      <c r="AB397" s="114" t="s">
        <v>58</v>
      </c>
      <c r="AC397" s="114" t="s">
        <v>58</v>
      </c>
      <c r="AD397" s="114" t="s">
        <v>58</v>
      </c>
      <c r="AE397" s="114" t="s">
        <v>58</v>
      </c>
      <c r="AF397" s="114" t="s">
        <v>58</v>
      </c>
      <c r="AG397" s="114" t="s">
        <v>58</v>
      </c>
      <c r="AH397" s="0" t="s">
        <v>1956</v>
      </c>
      <c r="AI397" s="114" t="s">
        <v>58</v>
      </c>
      <c r="AJ397" s="114" t="s">
        <v>58</v>
      </c>
      <c r="AK397" s="114" t="s">
        <v>58</v>
      </c>
      <c r="AL397" s="0" t="s">
        <v>1955</v>
      </c>
      <c r="AM397" s="114" t="s">
        <v>58</v>
      </c>
      <c r="AN397" s="114" t="s">
        <v>58</v>
      </c>
      <c r="AO397" s="114" t="s">
        <v>58</v>
      </c>
    </row>
    <row r="398" customFormat="false" ht="15" hidden="false" customHeight="true" outlineLevel="0" collapsed="false">
      <c r="A398" s="0" t="n">
        <v>204</v>
      </c>
      <c r="B398" s="0" t="s">
        <v>1957</v>
      </c>
      <c r="C398" s="0" t="s">
        <v>429</v>
      </c>
      <c r="D398" s="0" t="s">
        <v>438</v>
      </c>
      <c r="E398" s="0" t="s">
        <v>1794</v>
      </c>
      <c r="F398" s="0" t="n">
        <v>6604</v>
      </c>
      <c r="G398" s="0" t="s">
        <v>140</v>
      </c>
      <c r="H398" s="0" t="n">
        <v>159</v>
      </c>
      <c r="I398" s="0" t="n">
        <v>367</v>
      </c>
      <c r="J398" s="0" t="n">
        <v>0</v>
      </c>
      <c r="K398" s="0" t="n">
        <v>37</v>
      </c>
      <c r="L398" s="0" t="n">
        <v>273</v>
      </c>
      <c r="M398" s="0" t="n">
        <v>0</v>
      </c>
      <c r="N398" s="0" t="n">
        <v>14</v>
      </c>
      <c r="O398" s="0" t="n">
        <v>0</v>
      </c>
      <c r="P398" s="0" t="n">
        <v>30</v>
      </c>
      <c r="Q398" s="114" t="n">
        <v>43</v>
      </c>
      <c r="R398" s="0" t="n">
        <v>70</v>
      </c>
      <c r="S398" s="114" t="n">
        <v>1.35</v>
      </c>
      <c r="T398" s="114" t="n">
        <v>1.5</v>
      </c>
      <c r="U398" s="114" t="s">
        <v>58</v>
      </c>
      <c r="V398" s="0" t="s">
        <v>58</v>
      </c>
      <c r="W398" s="0" t="s">
        <v>58</v>
      </c>
      <c r="X398" s="0" t="s">
        <v>58</v>
      </c>
      <c r="Y398" s="114" t="n">
        <v>0.9</v>
      </c>
      <c r="Z398" s="114" t="n">
        <v>0</v>
      </c>
      <c r="AA398" s="114" t="s">
        <v>58</v>
      </c>
      <c r="AB398" s="114" t="s">
        <v>58</v>
      </c>
      <c r="AC398" s="114" t="s">
        <v>58</v>
      </c>
      <c r="AD398" s="114" t="s">
        <v>58</v>
      </c>
      <c r="AE398" s="114" t="s">
        <v>58</v>
      </c>
      <c r="AF398" s="114" t="s">
        <v>58</v>
      </c>
      <c r="AG398" s="114" t="s">
        <v>58</v>
      </c>
      <c r="AH398" s="114" t="s">
        <v>1958</v>
      </c>
      <c r="AI398" s="114" t="s">
        <v>58</v>
      </c>
      <c r="AJ398" s="114" t="s">
        <v>58</v>
      </c>
      <c r="AK398" s="114" t="s">
        <v>58</v>
      </c>
      <c r="AL398" s="114" t="s">
        <v>1959</v>
      </c>
      <c r="AM398" s="114" t="s">
        <v>58</v>
      </c>
      <c r="AN398" s="114" t="s">
        <v>58</v>
      </c>
      <c r="AO398" s="114" t="s">
        <v>58</v>
      </c>
    </row>
    <row r="399" customFormat="false" ht="14.4" hidden="false" customHeight="false" outlineLevel="0" collapsed="false">
      <c r="A399" s="0" t="n">
        <v>383</v>
      </c>
      <c r="B399" s="0" t="s">
        <v>1960</v>
      </c>
      <c r="C399" s="0" t="s">
        <v>429</v>
      </c>
      <c r="D399" s="0" t="s">
        <v>438</v>
      </c>
      <c r="E399" s="0" t="s">
        <v>114</v>
      </c>
      <c r="F399" s="0" t="n">
        <v>6454</v>
      </c>
      <c r="G399" s="0" t="s">
        <v>140</v>
      </c>
      <c r="H399" s="0" t="n">
        <v>160</v>
      </c>
      <c r="I399" s="0" t="n">
        <v>363</v>
      </c>
      <c r="J399" s="0" t="n">
        <v>168</v>
      </c>
      <c r="K399" s="0" t="n">
        <v>40</v>
      </c>
      <c r="L399" s="0" t="n">
        <v>247</v>
      </c>
      <c r="M399" s="0" t="n">
        <v>0</v>
      </c>
      <c r="N399" s="0" t="n">
        <v>14</v>
      </c>
      <c r="O399" s="0" t="n">
        <v>0</v>
      </c>
      <c r="P399" s="0" t="n">
        <v>30</v>
      </c>
      <c r="Q399" s="0" t="n">
        <v>37</v>
      </c>
      <c r="R399" s="0" t="n">
        <v>68</v>
      </c>
      <c r="S399" s="114" t="n">
        <v>1.3</v>
      </c>
      <c r="T399" s="114" t="n">
        <v>1.5</v>
      </c>
      <c r="U399" s="114" t="s">
        <v>58</v>
      </c>
      <c r="V399" s="114" t="s">
        <v>58</v>
      </c>
      <c r="W399" s="0" t="s">
        <v>58</v>
      </c>
      <c r="X399" s="0" t="s">
        <v>58</v>
      </c>
      <c r="Y399" s="114" t="n">
        <v>0.85</v>
      </c>
      <c r="Z399" s="114" t="n">
        <v>0</v>
      </c>
      <c r="AA399" s="0" t="s">
        <v>1961</v>
      </c>
      <c r="AB399" s="114" t="s">
        <v>58</v>
      </c>
      <c r="AC399" s="114" t="s">
        <v>58</v>
      </c>
      <c r="AD399" s="114" t="s">
        <v>58</v>
      </c>
      <c r="AE399" s="114" t="s">
        <v>58</v>
      </c>
      <c r="AF399" s="114" t="s">
        <v>58</v>
      </c>
      <c r="AG399" s="114" t="s">
        <v>58</v>
      </c>
      <c r="AH399" s="0" t="s">
        <v>1962</v>
      </c>
      <c r="AI399" s="114" t="s">
        <v>1963</v>
      </c>
      <c r="AJ399" s="114" t="s">
        <v>58</v>
      </c>
      <c r="AK399" s="114" t="s">
        <v>58</v>
      </c>
      <c r="AL399" s="0" t="s">
        <v>1961</v>
      </c>
      <c r="AM399" s="114" t="s">
        <v>1964</v>
      </c>
      <c r="AN399" s="114" t="s">
        <v>58</v>
      </c>
      <c r="AO399" s="114" t="s">
        <v>58</v>
      </c>
    </row>
    <row r="400" customFormat="false" ht="14.4" hidden="false" customHeight="false" outlineLevel="0" collapsed="false">
      <c r="B400" s="0" t="s">
        <v>1965</v>
      </c>
      <c r="C400" s="0" t="s">
        <v>437</v>
      </c>
      <c r="D400" s="0" t="s">
        <v>438</v>
      </c>
      <c r="E400" s="0" t="s">
        <v>114</v>
      </c>
      <c r="F400" s="0" t="n">
        <v>6318</v>
      </c>
      <c r="G400" s="0" t="s">
        <v>140</v>
      </c>
      <c r="H400" s="0" t="n">
        <v>153</v>
      </c>
      <c r="I400" s="0" t="n">
        <v>344</v>
      </c>
      <c r="J400" s="0" t="n">
        <v>0</v>
      </c>
      <c r="K400" s="0" t="n">
        <v>41</v>
      </c>
      <c r="L400" s="0" t="n">
        <v>303</v>
      </c>
      <c r="M400" s="0" t="n">
        <v>0</v>
      </c>
      <c r="N400" s="0" t="n">
        <v>14</v>
      </c>
      <c r="O400" s="0" t="n">
        <v>0</v>
      </c>
      <c r="P400" s="0" t="n">
        <v>32</v>
      </c>
      <c r="Q400" s="0" t="n">
        <v>85</v>
      </c>
      <c r="R400" s="0" t="n">
        <v>68</v>
      </c>
      <c r="S400" s="114" t="n">
        <v>1.35</v>
      </c>
      <c r="T400" s="114" t="n">
        <v>1.5</v>
      </c>
      <c r="U400" s="114" t="s">
        <v>58</v>
      </c>
      <c r="V400" s="0" t="s">
        <v>58</v>
      </c>
      <c r="W400" s="0" t="s">
        <v>58</v>
      </c>
      <c r="X400" s="0" t="s">
        <v>58</v>
      </c>
      <c r="Y400" s="114" t="n">
        <v>0.7</v>
      </c>
      <c r="Z400" s="114" t="n">
        <v>0</v>
      </c>
      <c r="AA400" s="114" t="s">
        <v>58</v>
      </c>
      <c r="AB400" s="114" t="s">
        <v>58</v>
      </c>
      <c r="AC400" s="114" t="s">
        <v>58</v>
      </c>
      <c r="AD400" s="114" t="s">
        <v>58</v>
      </c>
      <c r="AE400" s="114" t="s">
        <v>58</v>
      </c>
      <c r="AF400" s="114" t="s">
        <v>58</v>
      </c>
      <c r="AG400" s="114" t="s">
        <v>58</v>
      </c>
      <c r="AH400" s="114" t="s">
        <v>58</v>
      </c>
      <c r="AI400" s="114" t="s">
        <v>58</v>
      </c>
      <c r="AJ400" s="114" t="s">
        <v>58</v>
      </c>
      <c r="AK400" s="114" t="s">
        <v>58</v>
      </c>
      <c r="AL400" s="114" t="s">
        <v>58</v>
      </c>
      <c r="AM400" s="114" t="s">
        <v>58</v>
      </c>
      <c r="AN400" s="114" t="s">
        <v>58</v>
      </c>
      <c r="AO400" s="114" t="s">
        <v>58</v>
      </c>
    </row>
    <row r="401" customFormat="false" ht="14.4" hidden="false" customHeight="false" outlineLevel="0" collapsed="false">
      <c r="A401" s="0" t="n">
        <v>410</v>
      </c>
      <c r="B401" s="0" t="s">
        <v>1966</v>
      </c>
      <c r="C401" s="0" t="s">
        <v>571</v>
      </c>
      <c r="D401" s="0" t="s">
        <v>430</v>
      </c>
      <c r="E401" s="0" t="s">
        <v>114</v>
      </c>
      <c r="F401" s="0" t="n">
        <v>8367</v>
      </c>
      <c r="G401" s="0" t="s">
        <v>142</v>
      </c>
      <c r="H401" s="0" t="n">
        <v>154</v>
      </c>
      <c r="I401" s="0" t="n">
        <v>421</v>
      </c>
      <c r="J401" s="0" t="n">
        <v>0</v>
      </c>
      <c r="K401" s="0" t="n">
        <v>35</v>
      </c>
      <c r="L401" s="0" t="n">
        <v>243</v>
      </c>
      <c r="M401" s="0" t="n">
        <v>0</v>
      </c>
      <c r="N401" s="0" t="n">
        <v>15</v>
      </c>
      <c r="O401" s="0" t="n">
        <v>0</v>
      </c>
      <c r="P401" s="0" t="n">
        <v>30</v>
      </c>
      <c r="Q401" s="0" t="n">
        <v>79</v>
      </c>
      <c r="R401" s="0" t="n">
        <v>58</v>
      </c>
      <c r="S401" s="114" t="n">
        <v>1.3</v>
      </c>
      <c r="T401" s="114" t="n">
        <v>2</v>
      </c>
      <c r="U401" s="114" t="s">
        <v>58</v>
      </c>
      <c r="V401" s="0" t="s">
        <v>58</v>
      </c>
      <c r="W401" s="0" t="s">
        <v>58</v>
      </c>
      <c r="X401" s="0" t="s">
        <v>58</v>
      </c>
      <c r="Y401" s="114" t="n">
        <v>0.7</v>
      </c>
      <c r="Z401" s="114" t="n">
        <v>0</v>
      </c>
      <c r="AA401" s="154" t="s">
        <v>1967</v>
      </c>
      <c r="AB401" s="154" t="s">
        <v>1968</v>
      </c>
      <c r="AC401" s="154" t="s">
        <v>1969</v>
      </c>
      <c r="AD401" s="114" t="s">
        <v>58</v>
      </c>
      <c r="AE401" s="114" t="s">
        <v>58</v>
      </c>
      <c r="AF401" s="114" t="s">
        <v>58</v>
      </c>
      <c r="AG401" s="114" t="s">
        <v>58</v>
      </c>
      <c r="AH401" s="154" t="s">
        <v>1970</v>
      </c>
      <c r="AI401" s="154" t="s">
        <v>1971</v>
      </c>
      <c r="AJ401" s="154" t="s">
        <v>58</v>
      </c>
      <c r="AK401" s="114" t="s">
        <v>58</v>
      </c>
      <c r="AL401" s="154" t="s">
        <v>1972</v>
      </c>
      <c r="AM401" s="154" t="s">
        <v>1973</v>
      </c>
      <c r="AN401" s="154" t="s">
        <v>58</v>
      </c>
      <c r="AO401" s="114" t="s">
        <v>58</v>
      </c>
    </row>
    <row r="402" customFormat="false" ht="14.4" hidden="false" customHeight="false" outlineLevel="0" collapsed="false">
      <c r="A402" s="0" t="n">
        <v>61</v>
      </c>
      <c r="B402" s="0" t="s">
        <v>1974</v>
      </c>
      <c r="C402" s="0" t="s">
        <v>437</v>
      </c>
      <c r="D402" s="0" t="s">
        <v>438</v>
      </c>
      <c r="E402" s="0" t="s">
        <v>1794</v>
      </c>
      <c r="F402" s="0" t="n">
        <v>7514</v>
      </c>
      <c r="G402" s="0" t="s">
        <v>142</v>
      </c>
      <c r="H402" s="0" t="n">
        <v>146</v>
      </c>
      <c r="I402" s="0" t="n">
        <v>405</v>
      </c>
      <c r="J402" s="0" t="n">
        <v>0</v>
      </c>
      <c r="K402" s="0" t="n">
        <v>30</v>
      </c>
      <c r="L402" s="0" t="n">
        <v>216</v>
      </c>
      <c r="M402" s="0" t="n">
        <v>0</v>
      </c>
      <c r="N402" s="0" t="n">
        <v>14</v>
      </c>
      <c r="O402" s="0" t="n">
        <v>0</v>
      </c>
      <c r="P402" s="0" t="n">
        <v>21</v>
      </c>
      <c r="Q402" s="114" t="n">
        <v>70</v>
      </c>
      <c r="R402" s="0" t="n">
        <v>64</v>
      </c>
      <c r="S402" s="114" t="n">
        <v>1.3</v>
      </c>
      <c r="T402" s="114" t="n">
        <v>2</v>
      </c>
      <c r="U402" s="114" t="s">
        <v>58</v>
      </c>
      <c r="V402" s="0" t="s">
        <v>58</v>
      </c>
      <c r="W402" s="0" t="s">
        <v>58</v>
      </c>
      <c r="X402" s="0" t="s">
        <v>58</v>
      </c>
      <c r="Y402" s="114" t="n">
        <v>1</v>
      </c>
      <c r="Z402" s="114" t="n">
        <v>0</v>
      </c>
      <c r="AA402" s="0" t="s">
        <v>1824</v>
      </c>
      <c r="AB402" s="114" t="s">
        <v>58</v>
      </c>
      <c r="AC402" s="114" t="s">
        <v>58</v>
      </c>
      <c r="AD402" s="114" t="s">
        <v>58</v>
      </c>
      <c r="AE402" s="114" t="s">
        <v>58</v>
      </c>
      <c r="AF402" s="114" t="s">
        <v>58</v>
      </c>
      <c r="AG402" s="114" t="s">
        <v>58</v>
      </c>
      <c r="AH402" s="0" t="s">
        <v>1975</v>
      </c>
      <c r="AI402" s="114" t="s">
        <v>1976</v>
      </c>
      <c r="AJ402" s="114" t="s">
        <v>58</v>
      </c>
      <c r="AK402" s="114" t="s">
        <v>58</v>
      </c>
      <c r="AL402" s="0" t="s">
        <v>1826</v>
      </c>
      <c r="AM402" s="114" t="s">
        <v>1977</v>
      </c>
      <c r="AN402" s="114" t="s">
        <v>58</v>
      </c>
      <c r="AO402" s="114" t="s">
        <v>58</v>
      </c>
    </row>
    <row r="403" customFormat="false" ht="14.4" hidden="false" customHeight="false" outlineLevel="0" collapsed="false">
      <c r="A403" s="0" t="n">
        <v>354</v>
      </c>
      <c r="B403" s="0" t="s">
        <v>1978</v>
      </c>
      <c r="C403" s="0" t="s">
        <v>437</v>
      </c>
      <c r="D403" s="0" t="s">
        <v>430</v>
      </c>
      <c r="E403" s="0" t="s">
        <v>1794</v>
      </c>
      <c r="F403" s="0" t="n">
        <v>7783</v>
      </c>
      <c r="G403" s="0" t="s">
        <v>142</v>
      </c>
      <c r="H403" s="0" t="n">
        <v>156</v>
      </c>
      <c r="I403" s="0" t="n">
        <v>414</v>
      </c>
      <c r="J403" s="0" t="n">
        <v>0</v>
      </c>
      <c r="K403" s="0" t="n">
        <v>33</v>
      </c>
      <c r="L403" s="0" t="n">
        <v>400</v>
      </c>
      <c r="M403" s="0" t="n">
        <v>0</v>
      </c>
      <c r="N403" s="0" t="n">
        <v>15</v>
      </c>
      <c r="O403" s="0" t="n">
        <v>0</v>
      </c>
      <c r="P403" s="0" t="n">
        <v>27</v>
      </c>
      <c r="Q403" s="114" t="n">
        <v>82</v>
      </c>
      <c r="R403" s="0" t="n">
        <v>74</v>
      </c>
      <c r="S403" s="114" t="n">
        <v>1.3</v>
      </c>
      <c r="T403" s="114" t="n">
        <v>2</v>
      </c>
      <c r="U403" s="114" t="s">
        <v>58</v>
      </c>
      <c r="V403" s="0" t="s">
        <v>58</v>
      </c>
      <c r="W403" s="0" t="s">
        <v>58</v>
      </c>
      <c r="X403" s="0" t="s">
        <v>58</v>
      </c>
      <c r="Y403" s="114" t="n">
        <v>1</v>
      </c>
      <c r="Z403" s="114" t="n">
        <v>0</v>
      </c>
      <c r="AA403" s="114" t="s">
        <v>58</v>
      </c>
      <c r="AB403" s="114" t="s">
        <v>58</v>
      </c>
      <c r="AC403" s="114" t="s">
        <v>58</v>
      </c>
      <c r="AD403" s="114" t="s">
        <v>58</v>
      </c>
      <c r="AE403" s="114" t="s">
        <v>58</v>
      </c>
      <c r="AF403" s="114" t="s">
        <v>58</v>
      </c>
      <c r="AG403" s="114" t="s">
        <v>58</v>
      </c>
      <c r="AH403" s="114" t="s">
        <v>1979</v>
      </c>
      <c r="AI403" s="114" t="s">
        <v>1980</v>
      </c>
      <c r="AJ403" s="114" t="s">
        <v>58</v>
      </c>
      <c r="AK403" s="114" t="s">
        <v>58</v>
      </c>
      <c r="AL403" s="114" t="s">
        <v>1981</v>
      </c>
      <c r="AM403" s="114" t="s">
        <v>1982</v>
      </c>
      <c r="AN403" s="114" t="s">
        <v>58</v>
      </c>
      <c r="AO403" s="114" t="s">
        <v>58</v>
      </c>
    </row>
    <row r="404" customFormat="false" ht="14.4" hidden="false" customHeight="false" outlineLevel="0" collapsed="false">
      <c r="A404" s="0" t="n">
        <v>320</v>
      </c>
      <c r="B404" s="0" t="s">
        <v>1983</v>
      </c>
      <c r="C404" s="0" t="s">
        <v>429</v>
      </c>
      <c r="D404" s="0" t="s">
        <v>430</v>
      </c>
      <c r="E404" s="0" t="s">
        <v>1794</v>
      </c>
      <c r="F404" s="0" t="n">
        <v>5372</v>
      </c>
      <c r="G404" s="0" t="s">
        <v>142</v>
      </c>
      <c r="H404" s="0" t="n">
        <v>163</v>
      </c>
      <c r="I404" s="0" t="n">
        <v>334</v>
      </c>
      <c r="J404" s="0" t="n">
        <v>0</v>
      </c>
      <c r="K404" s="0" t="n">
        <v>25</v>
      </c>
      <c r="L404" s="0" t="n">
        <v>172</v>
      </c>
      <c r="M404" s="0" t="n">
        <v>0</v>
      </c>
      <c r="N404" s="0" t="n">
        <v>14</v>
      </c>
      <c r="O404" s="0" t="n">
        <v>0</v>
      </c>
      <c r="P404" s="0" t="n">
        <v>18</v>
      </c>
      <c r="Q404" s="114" t="n">
        <v>95</v>
      </c>
      <c r="R404" s="0" t="n">
        <v>72</v>
      </c>
      <c r="S404" s="114" t="n">
        <v>1.3</v>
      </c>
      <c r="T404" s="114" t="n">
        <v>1.5</v>
      </c>
      <c r="U404" s="114" t="s">
        <v>58</v>
      </c>
      <c r="V404" s="0" t="s">
        <v>58</v>
      </c>
      <c r="W404" s="0" t="s">
        <v>58</v>
      </c>
      <c r="X404" s="0" t="s">
        <v>58</v>
      </c>
      <c r="Y404" s="114" t="n">
        <v>0</v>
      </c>
      <c r="Z404" s="114" t="n">
        <v>0</v>
      </c>
      <c r="AA404" s="114" t="s">
        <v>58</v>
      </c>
      <c r="AB404" s="114" t="s">
        <v>58</v>
      </c>
      <c r="AC404" s="114" t="s">
        <v>58</v>
      </c>
      <c r="AD404" s="114" t="s">
        <v>58</v>
      </c>
      <c r="AE404" s="114" t="s">
        <v>58</v>
      </c>
      <c r="AF404" s="114" t="s">
        <v>58</v>
      </c>
      <c r="AG404" s="114" t="s">
        <v>58</v>
      </c>
      <c r="AH404" s="114" t="s">
        <v>1984</v>
      </c>
      <c r="AI404" s="114" t="s">
        <v>1985</v>
      </c>
      <c r="AJ404" s="114" t="s">
        <v>58</v>
      </c>
      <c r="AK404" s="114" t="s">
        <v>58</v>
      </c>
      <c r="AL404" s="114" t="s">
        <v>1986</v>
      </c>
      <c r="AM404" s="114" t="s">
        <v>1987</v>
      </c>
      <c r="AN404" s="114" t="s">
        <v>58</v>
      </c>
      <c r="AO404" s="114" t="s">
        <v>58</v>
      </c>
    </row>
    <row r="405" customFormat="false" ht="14.4" hidden="false" customHeight="false" outlineLevel="0" collapsed="false">
      <c r="A405" s="0" t="s">
        <v>1988</v>
      </c>
      <c r="B405" s="0" t="s">
        <v>393</v>
      </c>
      <c r="C405" s="0" t="s">
        <v>471</v>
      </c>
      <c r="D405" s="0" t="s">
        <v>1344</v>
      </c>
      <c r="E405" s="0" t="s">
        <v>1794</v>
      </c>
      <c r="F405" s="0" t="n">
        <v>7967</v>
      </c>
      <c r="G405" s="0" t="s">
        <v>142</v>
      </c>
      <c r="H405" s="0" t="n">
        <v>168</v>
      </c>
      <c r="I405" s="0" t="n">
        <v>423</v>
      </c>
      <c r="J405" s="0" t="n">
        <v>0</v>
      </c>
      <c r="K405" s="0" t="n">
        <v>35</v>
      </c>
      <c r="L405" s="0" t="n">
        <v>230</v>
      </c>
      <c r="M405" s="0" t="n">
        <v>0</v>
      </c>
      <c r="N405" s="0" t="n">
        <v>16</v>
      </c>
      <c r="O405" s="0" t="n">
        <v>0</v>
      </c>
      <c r="P405" s="0" t="n">
        <v>28</v>
      </c>
      <c r="Q405" s="114" t="n">
        <v>0</v>
      </c>
      <c r="R405" s="0" t="n">
        <v>66</v>
      </c>
      <c r="S405" s="114" t="n">
        <v>1.45</v>
      </c>
      <c r="T405" s="114" t="n">
        <v>2.1</v>
      </c>
      <c r="U405" s="114" t="s">
        <v>58</v>
      </c>
      <c r="V405" s="114" t="s">
        <v>58</v>
      </c>
      <c r="W405" s="0" t="s">
        <v>58</v>
      </c>
      <c r="X405" s="0" t="s">
        <v>58</v>
      </c>
      <c r="Y405" s="114" t="n">
        <v>1.1</v>
      </c>
      <c r="Z405" s="114" t="n">
        <v>0</v>
      </c>
      <c r="AA405" s="0" t="s">
        <v>1989</v>
      </c>
      <c r="AB405" s="114" t="s">
        <v>58</v>
      </c>
      <c r="AC405" s="114" t="s">
        <v>58</v>
      </c>
      <c r="AD405" s="114" t="s">
        <v>58</v>
      </c>
      <c r="AE405" s="114" t="s">
        <v>58</v>
      </c>
      <c r="AF405" s="114" t="s">
        <v>58</v>
      </c>
      <c r="AG405" s="114" t="s">
        <v>58</v>
      </c>
      <c r="AH405" s="0" t="s">
        <v>1990</v>
      </c>
      <c r="AI405" s="114" t="s">
        <v>1991</v>
      </c>
      <c r="AJ405" s="114" t="s">
        <v>818</v>
      </c>
      <c r="AK405" s="114" t="s">
        <v>58</v>
      </c>
      <c r="AL405" s="0" t="s">
        <v>1989</v>
      </c>
      <c r="AM405" s="114" t="s">
        <v>1992</v>
      </c>
      <c r="AN405" s="114" t="s">
        <v>822</v>
      </c>
      <c r="AO405" s="114" t="s">
        <v>58</v>
      </c>
    </row>
    <row r="406" customFormat="false" ht="14.4" hidden="false" customHeight="false" outlineLevel="0" collapsed="false">
      <c r="A406" s="0" t="n">
        <v>213</v>
      </c>
      <c r="B406" s="0" t="s">
        <v>1993</v>
      </c>
      <c r="C406" s="0" t="s">
        <v>429</v>
      </c>
      <c r="D406" s="0" t="s">
        <v>438</v>
      </c>
      <c r="E406" s="0" t="s">
        <v>1794</v>
      </c>
      <c r="F406" s="0" t="n">
        <v>7896</v>
      </c>
      <c r="G406" s="0" t="s">
        <v>142</v>
      </c>
      <c r="H406" s="0" t="n">
        <v>145</v>
      </c>
      <c r="I406" s="0" t="n">
        <v>409</v>
      </c>
      <c r="J406" s="0" t="n">
        <v>0</v>
      </c>
      <c r="K406" s="0" t="n">
        <v>34</v>
      </c>
      <c r="L406" s="0" t="n">
        <v>185</v>
      </c>
      <c r="M406" s="0" t="n">
        <v>0</v>
      </c>
      <c r="N406" s="0" t="n">
        <v>14</v>
      </c>
      <c r="O406" s="0" t="n">
        <v>0</v>
      </c>
      <c r="P406" s="0" t="n">
        <v>25</v>
      </c>
      <c r="Q406" s="114" t="n">
        <v>34</v>
      </c>
      <c r="R406" s="0" t="n">
        <v>71</v>
      </c>
      <c r="S406" s="114" t="n">
        <v>1.3</v>
      </c>
      <c r="T406" s="114" t="n">
        <v>2.1</v>
      </c>
      <c r="U406" s="114" t="s">
        <v>58</v>
      </c>
      <c r="V406" s="0" t="s">
        <v>58</v>
      </c>
      <c r="W406" s="0" t="s">
        <v>58</v>
      </c>
      <c r="X406" s="0" t="s">
        <v>58</v>
      </c>
      <c r="Y406" s="114" t="n">
        <v>1</v>
      </c>
      <c r="Z406" s="114" t="n">
        <v>0</v>
      </c>
      <c r="AA406" s="0" t="s">
        <v>1994</v>
      </c>
      <c r="AB406" s="0" t="s">
        <v>1995</v>
      </c>
      <c r="AC406" s="114" t="s">
        <v>58</v>
      </c>
      <c r="AD406" s="114" t="s">
        <v>58</v>
      </c>
      <c r="AE406" s="114" t="s">
        <v>58</v>
      </c>
      <c r="AF406" s="114" t="s">
        <v>58</v>
      </c>
      <c r="AG406" s="114" t="s">
        <v>58</v>
      </c>
      <c r="AH406" s="0" t="s">
        <v>1996</v>
      </c>
      <c r="AI406" s="0" t="s">
        <v>58</v>
      </c>
      <c r="AJ406" s="114" t="s">
        <v>58</v>
      </c>
      <c r="AK406" s="114" t="s">
        <v>58</v>
      </c>
      <c r="AL406" s="0" t="s">
        <v>1997</v>
      </c>
      <c r="AM406" s="0" t="s">
        <v>58</v>
      </c>
      <c r="AN406" s="114" t="s">
        <v>58</v>
      </c>
      <c r="AO406" s="114" t="s">
        <v>58</v>
      </c>
    </row>
    <row r="407" customFormat="false" ht="14.4" hidden="false" customHeight="false" outlineLevel="0" collapsed="false">
      <c r="A407" s="0" t="n">
        <v>212</v>
      </c>
      <c r="B407" s="0" t="s">
        <v>1998</v>
      </c>
      <c r="C407" s="0" t="s">
        <v>429</v>
      </c>
      <c r="D407" s="0" t="s">
        <v>430</v>
      </c>
      <c r="E407" s="0" t="s">
        <v>1794</v>
      </c>
      <c r="F407" s="0" t="n">
        <v>8117</v>
      </c>
      <c r="G407" s="0" t="s">
        <v>142</v>
      </c>
      <c r="H407" s="0" t="n">
        <v>146</v>
      </c>
      <c r="I407" s="0" t="n">
        <v>419</v>
      </c>
      <c r="J407" s="0" t="n">
        <v>0</v>
      </c>
      <c r="K407" s="0" t="n">
        <v>37</v>
      </c>
      <c r="L407" s="0" t="n">
        <v>182</v>
      </c>
      <c r="M407" s="0" t="n">
        <v>0</v>
      </c>
      <c r="N407" s="0" t="n">
        <v>15</v>
      </c>
      <c r="O407" s="0" t="n">
        <v>0</v>
      </c>
      <c r="P407" s="0" t="n">
        <v>25</v>
      </c>
      <c r="Q407" s="114" t="n">
        <v>71</v>
      </c>
      <c r="R407" s="0" t="n">
        <v>70</v>
      </c>
      <c r="S407" s="114" t="n">
        <v>1.35</v>
      </c>
      <c r="T407" s="114" t="n">
        <v>2.1</v>
      </c>
      <c r="U407" s="114" t="s">
        <v>58</v>
      </c>
      <c r="V407" s="0" t="s">
        <v>58</v>
      </c>
      <c r="W407" s="0" t="s">
        <v>58</v>
      </c>
      <c r="X407" s="0" t="s">
        <v>58</v>
      </c>
      <c r="Y407" s="114" t="n">
        <v>1</v>
      </c>
      <c r="Z407" s="114" t="n">
        <v>0</v>
      </c>
      <c r="AA407" s="0" t="s">
        <v>1994</v>
      </c>
      <c r="AB407" s="0" t="s">
        <v>1995</v>
      </c>
      <c r="AC407" s="114" t="s">
        <v>58</v>
      </c>
      <c r="AD407" s="114" t="s">
        <v>58</v>
      </c>
      <c r="AE407" s="114" t="s">
        <v>58</v>
      </c>
      <c r="AF407" s="114" t="s">
        <v>58</v>
      </c>
      <c r="AG407" s="114" t="s">
        <v>58</v>
      </c>
      <c r="AH407" s="0" t="s">
        <v>1999</v>
      </c>
      <c r="AI407" s="0" t="s">
        <v>1996</v>
      </c>
      <c r="AJ407" s="114" t="s">
        <v>58</v>
      </c>
      <c r="AK407" s="114" t="s">
        <v>58</v>
      </c>
      <c r="AL407" s="0" t="s">
        <v>2000</v>
      </c>
      <c r="AM407" s="0" t="s">
        <v>1997</v>
      </c>
      <c r="AN407" s="114" t="s">
        <v>58</v>
      </c>
      <c r="AO407" s="114" t="s">
        <v>58</v>
      </c>
    </row>
    <row r="408" customFormat="false" ht="14.4" hidden="false" customHeight="false" outlineLevel="0" collapsed="false">
      <c r="A408" s="0" t="n">
        <v>132</v>
      </c>
      <c r="B408" s="0" t="s">
        <v>2001</v>
      </c>
      <c r="C408" s="0" t="s">
        <v>471</v>
      </c>
      <c r="D408" s="0" t="s">
        <v>438</v>
      </c>
      <c r="E408" s="0" t="s">
        <v>1794</v>
      </c>
      <c r="F408" s="0" t="n">
        <v>7654</v>
      </c>
      <c r="G408" s="0" t="s">
        <v>142</v>
      </c>
      <c r="H408" s="0" t="n">
        <v>149</v>
      </c>
      <c r="I408" s="0" t="n">
        <v>407</v>
      </c>
      <c r="J408" s="0" t="n">
        <v>0</v>
      </c>
      <c r="K408" s="0" t="n">
        <v>33</v>
      </c>
      <c r="L408" s="0" t="n">
        <v>219</v>
      </c>
      <c r="M408" s="0" t="n">
        <v>0</v>
      </c>
      <c r="N408" s="0" t="n">
        <v>14</v>
      </c>
      <c r="O408" s="0" t="n">
        <v>0</v>
      </c>
      <c r="P408" s="0" t="n">
        <v>23</v>
      </c>
      <c r="Q408" s="114" t="n">
        <v>66</v>
      </c>
      <c r="R408" s="0" t="n">
        <v>70</v>
      </c>
      <c r="S408" s="114" t="n">
        <v>1.3</v>
      </c>
      <c r="T408" s="114" t="n">
        <v>2</v>
      </c>
      <c r="U408" s="114" t="s">
        <v>58</v>
      </c>
      <c r="V408" s="0" t="s">
        <v>58</v>
      </c>
      <c r="W408" s="0" t="s">
        <v>58</v>
      </c>
      <c r="X408" s="0" t="s">
        <v>58</v>
      </c>
      <c r="Y408" s="114" t="n">
        <v>1</v>
      </c>
      <c r="Z408" s="114" t="n">
        <v>0</v>
      </c>
      <c r="AA408" s="0" t="s">
        <v>1824</v>
      </c>
      <c r="AB408" s="114" t="s">
        <v>58</v>
      </c>
      <c r="AC408" s="114" t="s">
        <v>58</v>
      </c>
      <c r="AD408" s="114" t="s">
        <v>58</v>
      </c>
      <c r="AE408" s="114" t="s">
        <v>58</v>
      </c>
      <c r="AF408" s="114" t="s">
        <v>58</v>
      </c>
      <c r="AG408" s="114" t="s">
        <v>58</v>
      </c>
      <c r="AH408" s="0" t="s">
        <v>2002</v>
      </c>
      <c r="AI408" s="114" t="s">
        <v>58</v>
      </c>
      <c r="AJ408" s="114" t="s">
        <v>58</v>
      </c>
      <c r="AK408" s="114" t="s">
        <v>58</v>
      </c>
      <c r="AL408" s="0" t="s">
        <v>1826</v>
      </c>
      <c r="AM408" s="114" t="s">
        <v>58</v>
      </c>
      <c r="AN408" s="114" t="s">
        <v>58</v>
      </c>
      <c r="AO408" s="114" t="s">
        <v>58</v>
      </c>
    </row>
    <row r="409" customFormat="false" ht="14.4" hidden="false" customHeight="false" outlineLevel="0" collapsed="false">
      <c r="A409" s="0" t="n">
        <v>52</v>
      </c>
      <c r="B409" s="0" t="s">
        <v>2003</v>
      </c>
      <c r="C409" s="0" t="s">
        <v>437</v>
      </c>
      <c r="D409" s="0" t="s">
        <v>527</v>
      </c>
      <c r="E409" s="0" t="s">
        <v>1794</v>
      </c>
      <c r="F409" s="0" t="n">
        <v>6974</v>
      </c>
      <c r="G409" s="0" t="s">
        <v>142</v>
      </c>
      <c r="H409" s="0" t="n">
        <v>132</v>
      </c>
      <c r="I409" s="0" t="n">
        <v>378</v>
      </c>
      <c r="J409" s="0" t="n">
        <v>0</v>
      </c>
      <c r="K409" s="0" t="n">
        <v>26</v>
      </c>
      <c r="L409" s="0" t="n">
        <v>202</v>
      </c>
      <c r="M409" s="0" t="n">
        <v>0</v>
      </c>
      <c r="N409" s="0" t="n">
        <v>12</v>
      </c>
      <c r="O409" s="0" t="n">
        <v>0</v>
      </c>
      <c r="P409" s="0" t="n">
        <v>20</v>
      </c>
      <c r="Q409" s="114" t="n">
        <v>75</v>
      </c>
      <c r="R409" s="0" t="n">
        <v>68</v>
      </c>
      <c r="S409" s="114" t="n">
        <v>1.3</v>
      </c>
      <c r="T409" s="114" t="n">
        <v>2</v>
      </c>
      <c r="U409" s="114" t="s">
        <v>58</v>
      </c>
      <c r="V409" s="0" t="s">
        <v>58</v>
      </c>
      <c r="W409" s="0" t="s">
        <v>58</v>
      </c>
      <c r="X409" s="0" t="s">
        <v>58</v>
      </c>
      <c r="Y409" s="114" t="n">
        <v>1</v>
      </c>
      <c r="Z409" s="114" t="n">
        <v>0</v>
      </c>
      <c r="AA409" s="114" t="s">
        <v>58</v>
      </c>
      <c r="AB409" s="114" t="s">
        <v>58</v>
      </c>
      <c r="AC409" s="114" t="s">
        <v>58</v>
      </c>
      <c r="AD409" s="114" t="s">
        <v>58</v>
      </c>
      <c r="AE409" s="114" t="s">
        <v>58</v>
      </c>
      <c r="AF409" s="114" t="s">
        <v>58</v>
      </c>
      <c r="AG409" s="114" t="s">
        <v>58</v>
      </c>
      <c r="AH409" s="114" t="s">
        <v>2004</v>
      </c>
      <c r="AI409" s="114" t="s">
        <v>58</v>
      </c>
      <c r="AJ409" s="114" t="s">
        <v>58</v>
      </c>
      <c r="AK409" s="114" t="s">
        <v>58</v>
      </c>
      <c r="AL409" s="114" t="s">
        <v>1524</v>
      </c>
      <c r="AM409" s="114" t="s">
        <v>58</v>
      </c>
      <c r="AN409" s="114" t="s">
        <v>58</v>
      </c>
      <c r="AO409" s="114" t="s">
        <v>58</v>
      </c>
    </row>
    <row r="410" customFormat="false" ht="14.4" hidden="false" customHeight="false" outlineLevel="0" collapsed="false">
      <c r="A410" s="0" t="n">
        <v>3052</v>
      </c>
      <c r="B410" s="0" t="s">
        <v>2005</v>
      </c>
      <c r="C410" s="0" t="s">
        <v>437</v>
      </c>
      <c r="D410" s="0" t="s">
        <v>472</v>
      </c>
      <c r="E410" s="0" t="s">
        <v>1794</v>
      </c>
      <c r="F410" s="0" t="n">
        <v>7214</v>
      </c>
      <c r="G410" s="0" t="s">
        <v>142</v>
      </c>
      <c r="H410" s="0" t="n">
        <v>152</v>
      </c>
      <c r="I410" s="0" t="n">
        <v>388</v>
      </c>
      <c r="J410" s="0" t="n">
        <v>0</v>
      </c>
      <c r="K410" s="0" t="n">
        <v>26</v>
      </c>
      <c r="L410" s="0" t="n">
        <v>242</v>
      </c>
      <c r="M410" s="0" t="n">
        <v>0</v>
      </c>
      <c r="N410" s="0" t="n">
        <v>12</v>
      </c>
      <c r="O410" s="0" t="n">
        <v>0</v>
      </c>
      <c r="P410" s="0" t="n">
        <v>20</v>
      </c>
      <c r="Q410" s="114" t="n">
        <v>75</v>
      </c>
      <c r="R410" s="0" t="n">
        <v>83</v>
      </c>
      <c r="S410" s="114" t="n">
        <v>1.35</v>
      </c>
      <c r="T410" s="114" t="n">
        <v>2.15</v>
      </c>
      <c r="U410" s="114" t="s">
        <v>58</v>
      </c>
      <c r="V410" s="0" t="s">
        <v>58</v>
      </c>
      <c r="W410" s="0" t="s">
        <v>58</v>
      </c>
      <c r="X410" s="0" t="s">
        <v>58</v>
      </c>
      <c r="Y410" s="114" t="n">
        <v>1</v>
      </c>
      <c r="Z410" s="114" t="n">
        <v>0</v>
      </c>
      <c r="AA410" s="114" t="s">
        <v>58</v>
      </c>
      <c r="AB410" s="114" t="s">
        <v>58</v>
      </c>
      <c r="AC410" s="114" t="s">
        <v>58</v>
      </c>
      <c r="AD410" s="114" t="s">
        <v>58</v>
      </c>
      <c r="AE410" s="114" t="s">
        <v>58</v>
      </c>
      <c r="AF410" s="114" t="s">
        <v>58</v>
      </c>
      <c r="AG410" s="114" t="s">
        <v>58</v>
      </c>
      <c r="AH410" s="114" t="s">
        <v>2004</v>
      </c>
      <c r="AI410" s="114" t="s">
        <v>2006</v>
      </c>
      <c r="AJ410" s="114" t="s">
        <v>58</v>
      </c>
      <c r="AK410" s="114" t="s">
        <v>58</v>
      </c>
      <c r="AL410" s="114" t="s">
        <v>1524</v>
      </c>
      <c r="AM410" s="114" t="s">
        <v>1591</v>
      </c>
      <c r="AN410" s="114" t="s">
        <v>58</v>
      </c>
      <c r="AO410" s="114" t="s">
        <v>58</v>
      </c>
    </row>
    <row r="411" customFormat="false" ht="14.4" hidden="false" customHeight="false" outlineLevel="0" collapsed="false">
      <c r="A411" s="0" t="n">
        <v>63</v>
      </c>
      <c r="B411" s="0" t="s">
        <v>2007</v>
      </c>
      <c r="C411" s="0" t="s">
        <v>437</v>
      </c>
      <c r="D411" s="0" t="s">
        <v>430</v>
      </c>
      <c r="E411" s="0" t="s">
        <v>1794</v>
      </c>
      <c r="F411" s="0" t="n">
        <v>7852</v>
      </c>
      <c r="G411" s="0" t="s">
        <v>142</v>
      </c>
      <c r="H411" s="0" t="n">
        <v>159</v>
      </c>
      <c r="I411" s="0" t="n">
        <v>421</v>
      </c>
      <c r="J411" s="0" t="n">
        <v>0</v>
      </c>
      <c r="K411" s="0" t="n">
        <v>33</v>
      </c>
      <c r="L411" s="0" t="n">
        <v>400</v>
      </c>
      <c r="M411" s="0" t="n">
        <v>0</v>
      </c>
      <c r="N411" s="0" t="n">
        <v>15</v>
      </c>
      <c r="O411" s="0" t="n">
        <v>0</v>
      </c>
      <c r="P411" s="0" t="n">
        <v>28</v>
      </c>
      <c r="Q411" s="114" t="n">
        <v>81</v>
      </c>
      <c r="R411" s="0" t="n">
        <v>70</v>
      </c>
      <c r="S411" s="114" t="n">
        <v>1.3</v>
      </c>
      <c r="T411" s="114" t="n">
        <v>2</v>
      </c>
      <c r="U411" s="114" t="s">
        <v>58</v>
      </c>
      <c r="V411" s="0" t="s">
        <v>58</v>
      </c>
      <c r="W411" s="0" t="s">
        <v>58</v>
      </c>
      <c r="X411" s="0" t="s">
        <v>58</v>
      </c>
      <c r="Y411" s="114" t="n">
        <v>1</v>
      </c>
      <c r="Z411" s="114" t="n">
        <v>0</v>
      </c>
      <c r="AA411" s="114" t="s">
        <v>58</v>
      </c>
      <c r="AB411" s="114" t="s">
        <v>58</v>
      </c>
      <c r="AC411" s="114" t="s">
        <v>58</v>
      </c>
      <c r="AD411" s="114" t="s">
        <v>58</v>
      </c>
      <c r="AE411" s="114" t="s">
        <v>58</v>
      </c>
      <c r="AF411" s="114" t="s">
        <v>58</v>
      </c>
      <c r="AG411" s="114" t="s">
        <v>58</v>
      </c>
      <c r="AH411" s="114" t="s">
        <v>2008</v>
      </c>
      <c r="AI411" s="114" t="s">
        <v>2009</v>
      </c>
      <c r="AJ411" s="114" t="s">
        <v>58</v>
      </c>
      <c r="AK411" s="114" t="s">
        <v>58</v>
      </c>
      <c r="AL411" s="114" t="s">
        <v>2010</v>
      </c>
      <c r="AM411" s="114" t="s">
        <v>2011</v>
      </c>
      <c r="AN411" s="114" t="s">
        <v>58</v>
      </c>
      <c r="AO411" s="114" t="s">
        <v>58</v>
      </c>
    </row>
    <row r="412" customFormat="false" ht="14.4" hidden="false" customHeight="false" outlineLevel="0" collapsed="false">
      <c r="B412" s="0" t="s">
        <v>2012</v>
      </c>
      <c r="C412" s="0" t="s">
        <v>1065</v>
      </c>
      <c r="D412" s="0" t="s">
        <v>1344</v>
      </c>
      <c r="E412" s="0" t="s">
        <v>114</v>
      </c>
      <c r="F412" s="0" t="n">
        <v>7126</v>
      </c>
      <c r="G412" s="0" t="s">
        <v>142</v>
      </c>
      <c r="H412" s="0" t="n">
        <v>171</v>
      </c>
      <c r="I412" s="0" t="n">
        <v>361</v>
      </c>
      <c r="J412" s="0" t="n">
        <v>241</v>
      </c>
      <c r="K412" s="0" t="n">
        <v>36</v>
      </c>
      <c r="L412" s="0" t="n">
        <v>337</v>
      </c>
      <c r="M412" s="0" t="n">
        <v>0</v>
      </c>
      <c r="N412" s="0" t="n">
        <v>15</v>
      </c>
      <c r="O412" s="0" t="n">
        <v>0</v>
      </c>
      <c r="P412" s="0" t="n">
        <v>30</v>
      </c>
      <c r="Q412" s="0" t="n">
        <v>0</v>
      </c>
      <c r="R412" s="0" t="n">
        <v>62</v>
      </c>
      <c r="S412" s="114" t="n">
        <v>1.4</v>
      </c>
      <c r="T412" s="114" t="n">
        <v>2</v>
      </c>
      <c r="U412" s="114" t="s">
        <v>58</v>
      </c>
      <c r="V412" s="0" t="s">
        <v>58</v>
      </c>
      <c r="W412" s="0" t="s">
        <v>58</v>
      </c>
      <c r="X412" s="0" t="s">
        <v>58</v>
      </c>
      <c r="Y412" s="114" t="n">
        <v>1.1</v>
      </c>
      <c r="Z412" s="114" t="n">
        <v>0</v>
      </c>
      <c r="AA412" s="0" t="s">
        <v>2012</v>
      </c>
      <c r="AB412" s="0" t="s">
        <v>2013</v>
      </c>
      <c r="AC412" s="0" t="s">
        <v>2014</v>
      </c>
      <c r="AD412" s="0" t="s">
        <v>2015</v>
      </c>
      <c r="AE412" s="114"/>
      <c r="AF412" s="114"/>
      <c r="AG412" s="114"/>
      <c r="AI412" s="114"/>
      <c r="AJ412" s="114"/>
      <c r="AK412" s="114"/>
      <c r="AM412" s="114"/>
      <c r="AN412" s="114"/>
      <c r="AO412" s="114"/>
    </row>
    <row r="413" customFormat="false" ht="14.4" hidden="false" customHeight="false" outlineLevel="0" collapsed="false">
      <c r="A413" s="0" t="n">
        <v>53</v>
      </c>
      <c r="B413" s="0" t="s">
        <v>2016</v>
      </c>
      <c r="C413" s="0" t="s">
        <v>437</v>
      </c>
      <c r="D413" s="0" t="s">
        <v>527</v>
      </c>
      <c r="E413" s="0" t="s">
        <v>1794</v>
      </c>
      <c r="F413" s="0" t="n">
        <v>6956</v>
      </c>
      <c r="G413" s="0" t="s">
        <v>142</v>
      </c>
      <c r="H413" s="0" t="n">
        <v>132</v>
      </c>
      <c r="I413" s="0" t="n">
        <v>378</v>
      </c>
      <c r="J413" s="0" t="n">
        <v>0</v>
      </c>
      <c r="K413" s="0" t="n">
        <v>26</v>
      </c>
      <c r="L413" s="0" t="n">
        <v>202</v>
      </c>
      <c r="M413" s="0" t="n">
        <v>0</v>
      </c>
      <c r="N413" s="0" t="n">
        <v>12</v>
      </c>
      <c r="O413" s="0" t="n">
        <v>0</v>
      </c>
      <c r="P413" s="0" t="n">
        <v>20</v>
      </c>
      <c r="Q413" s="114" t="n">
        <v>38</v>
      </c>
      <c r="R413" s="0" t="n">
        <v>68</v>
      </c>
      <c r="S413" s="114" t="n">
        <v>1.3</v>
      </c>
      <c r="T413" s="114" t="n">
        <v>2</v>
      </c>
      <c r="U413" s="114" t="s">
        <v>58</v>
      </c>
      <c r="V413" s="0" t="s">
        <v>58</v>
      </c>
      <c r="W413" s="0" t="s">
        <v>58</v>
      </c>
      <c r="X413" s="0" t="s">
        <v>58</v>
      </c>
      <c r="Y413" s="114" t="n">
        <v>1</v>
      </c>
      <c r="Z413" s="114" t="n">
        <v>0</v>
      </c>
      <c r="AA413" s="114" t="s">
        <v>58</v>
      </c>
      <c r="AB413" s="114" t="s">
        <v>58</v>
      </c>
      <c r="AC413" s="114" t="s">
        <v>58</v>
      </c>
      <c r="AD413" s="114" t="s">
        <v>58</v>
      </c>
      <c r="AE413" s="114" t="s">
        <v>58</v>
      </c>
      <c r="AF413" s="114" t="s">
        <v>58</v>
      </c>
      <c r="AG413" s="114" t="s">
        <v>58</v>
      </c>
      <c r="AH413" s="114" t="s">
        <v>2004</v>
      </c>
      <c r="AI413" s="114" t="s">
        <v>58</v>
      </c>
      <c r="AJ413" s="114" t="s">
        <v>58</v>
      </c>
      <c r="AK413" s="114" t="s">
        <v>58</v>
      </c>
      <c r="AL413" s="114" t="s">
        <v>1524</v>
      </c>
      <c r="AM413" s="114" t="s">
        <v>58</v>
      </c>
      <c r="AN413" s="114" t="s">
        <v>58</v>
      </c>
      <c r="AO413" s="114" t="s">
        <v>58</v>
      </c>
    </row>
    <row r="414" customFormat="false" ht="14.4" hidden="false" customHeight="false" outlineLevel="0" collapsed="false">
      <c r="A414" s="0" t="n">
        <v>3053</v>
      </c>
      <c r="B414" s="0" t="s">
        <v>2017</v>
      </c>
      <c r="C414" s="0" t="s">
        <v>437</v>
      </c>
      <c r="D414" s="0" t="s">
        <v>472</v>
      </c>
      <c r="E414" s="0" t="s">
        <v>1794</v>
      </c>
      <c r="F414" s="0" t="n">
        <v>7196</v>
      </c>
      <c r="G414" s="0" t="s">
        <v>142</v>
      </c>
      <c r="H414" s="0" t="n">
        <v>152</v>
      </c>
      <c r="I414" s="0" t="n">
        <v>388</v>
      </c>
      <c r="J414" s="0" t="n">
        <v>0</v>
      </c>
      <c r="K414" s="0" t="n">
        <v>26</v>
      </c>
      <c r="L414" s="0" t="n">
        <v>247</v>
      </c>
      <c r="M414" s="0" t="n">
        <v>0</v>
      </c>
      <c r="N414" s="0" t="n">
        <v>12</v>
      </c>
      <c r="O414" s="0" t="n">
        <v>0</v>
      </c>
      <c r="P414" s="0" t="n">
        <v>20</v>
      </c>
      <c r="Q414" s="114" t="n">
        <v>38</v>
      </c>
      <c r="R414" s="0" t="n">
        <v>78</v>
      </c>
      <c r="S414" s="114" t="n">
        <v>1.35</v>
      </c>
      <c r="T414" s="114" t="n">
        <v>2.15</v>
      </c>
      <c r="U414" s="114" t="s">
        <v>58</v>
      </c>
      <c r="V414" s="0" t="s">
        <v>58</v>
      </c>
      <c r="W414" s="0" t="s">
        <v>58</v>
      </c>
      <c r="X414" s="0" t="s">
        <v>58</v>
      </c>
      <c r="Y414" s="114" t="n">
        <v>1</v>
      </c>
      <c r="Z414" s="114" t="n">
        <v>0</v>
      </c>
      <c r="AA414" s="114" t="s">
        <v>58</v>
      </c>
      <c r="AB414" s="114" t="s">
        <v>58</v>
      </c>
      <c r="AC414" s="114" t="s">
        <v>58</v>
      </c>
      <c r="AD414" s="114" t="s">
        <v>58</v>
      </c>
      <c r="AE414" s="114" t="s">
        <v>58</v>
      </c>
      <c r="AF414" s="114" t="s">
        <v>58</v>
      </c>
      <c r="AG414" s="114" t="s">
        <v>58</v>
      </c>
      <c r="AH414" s="114" t="s">
        <v>2004</v>
      </c>
      <c r="AI414" s="114" t="s">
        <v>2006</v>
      </c>
      <c r="AJ414" s="114" t="s">
        <v>58</v>
      </c>
      <c r="AK414" s="114" t="s">
        <v>58</v>
      </c>
      <c r="AL414" s="114" t="s">
        <v>1524</v>
      </c>
      <c r="AM414" s="114" t="s">
        <v>1591</v>
      </c>
      <c r="AN414" s="114" t="s">
        <v>58</v>
      </c>
      <c r="AO414" s="114" t="s">
        <v>58</v>
      </c>
    </row>
    <row r="415" customFormat="false" ht="14.4" hidden="false" customHeight="false" outlineLevel="0" collapsed="false">
      <c r="A415" s="0" t="n">
        <v>54</v>
      </c>
      <c r="B415" s="0" t="s">
        <v>2018</v>
      </c>
      <c r="C415" s="0" t="s">
        <v>437</v>
      </c>
      <c r="D415" s="0" t="s">
        <v>472</v>
      </c>
      <c r="E415" s="0" t="s">
        <v>1794</v>
      </c>
      <c r="F415" s="0" t="n">
        <v>7194</v>
      </c>
      <c r="G415" s="0" t="s">
        <v>142</v>
      </c>
      <c r="H415" s="0" t="n">
        <v>137</v>
      </c>
      <c r="I415" s="0" t="n">
        <v>390</v>
      </c>
      <c r="J415" s="0" t="n">
        <v>0</v>
      </c>
      <c r="K415" s="0" t="n">
        <v>27</v>
      </c>
      <c r="L415" s="0" t="n">
        <v>212</v>
      </c>
      <c r="M415" s="0" t="n">
        <v>0</v>
      </c>
      <c r="N415" s="0" t="n">
        <v>13</v>
      </c>
      <c r="O415" s="0" t="n">
        <v>0</v>
      </c>
      <c r="P415" s="0" t="n">
        <v>21</v>
      </c>
      <c r="Q415" s="114" t="n">
        <v>72</v>
      </c>
      <c r="R415" s="0" t="n">
        <v>70</v>
      </c>
      <c r="S415" s="114" t="n">
        <v>1.3</v>
      </c>
      <c r="T415" s="114" t="n">
        <v>2</v>
      </c>
      <c r="U415" s="114" t="s">
        <v>58</v>
      </c>
      <c r="V415" s="0" t="s">
        <v>58</v>
      </c>
      <c r="W415" s="0" t="s">
        <v>58</v>
      </c>
      <c r="X415" s="0" t="s">
        <v>58</v>
      </c>
      <c r="Y415" s="114" t="n">
        <v>1</v>
      </c>
      <c r="Z415" s="114" t="n">
        <v>0</v>
      </c>
      <c r="AA415" s="0" t="s">
        <v>2019</v>
      </c>
      <c r="AB415" s="114" t="s">
        <v>58</v>
      </c>
      <c r="AC415" s="114" t="s">
        <v>58</v>
      </c>
      <c r="AD415" s="114" t="s">
        <v>58</v>
      </c>
      <c r="AE415" s="114" t="s">
        <v>58</v>
      </c>
      <c r="AF415" s="114" t="s">
        <v>58</v>
      </c>
      <c r="AG415" s="114" t="s">
        <v>58</v>
      </c>
      <c r="AH415" s="0" t="s">
        <v>2020</v>
      </c>
      <c r="AI415" s="114" t="s">
        <v>58</v>
      </c>
      <c r="AJ415" s="114" t="s">
        <v>58</v>
      </c>
      <c r="AK415" s="114" t="s">
        <v>58</v>
      </c>
      <c r="AL415" s="0" t="s">
        <v>2019</v>
      </c>
      <c r="AM415" s="114" t="s">
        <v>58</v>
      </c>
      <c r="AN415" s="114" t="s">
        <v>58</v>
      </c>
      <c r="AO415" s="114" t="s">
        <v>58</v>
      </c>
    </row>
    <row r="416" customFormat="false" ht="15" hidden="false" customHeight="true" outlineLevel="0" collapsed="false">
      <c r="A416" s="0" t="n">
        <v>135</v>
      </c>
      <c r="B416" s="0" t="s">
        <v>2021</v>
      </c>
      <c r="C416" s="0" t="s">
        <v>471</v>
      </c>
      <c r="D416" s="0" t="s">
        <v>430</v>
      </c>
      <c r="E416" s="0" t="s">
        <v>1794</v>
      </c>
      <c r="F416" s="0" t="n">
        <v>7967</v>
      </c>
      <c r="G416" s="0" t="s">
        <v>142</v>
      </c>
      <c r="H416" s="0" t="n">
        <v>156</v>
      </c>
      <c r="I416" s="0" t="n">
        <v>422</v>
      </c>
      <c r="J416" s="0" t="n">
        <v>0</v>
      </c>
      <c r="K416" s="0" t="n">
        <v>35</v>
      </c>
      <c r="L416" s="0" t="n">
        <v>230</v>
      </c>
      <c r="M416" s="0" t="n">
        <v>0</v>
      </c>
      <c r="N416" s="0" t="n">
        <v>15</v>
      </c>
      <c r="O416" s="0" t="n">
        <v>0</v>
      </c>
      <c r="P416" s="0" t="n">
        <v>28</v>
      </c>
      <c r="Q416" s="114" t="n">
        <v>19</v>
      </c>
      <c r="R416" s="0" t="n">
        <v>69</v>
      </c>
      <c r="S416" s="114" t="n">
        <v>1.35</v>
      </c>
      <c r="T416" s="114" t="n">
        <v>2</v>
      </c>
      <c r="U416" s="114" t="s">
        <v>58</v>
      </c>
      <c r="V416" s="0" t="s">
        <v>58</v>
      </c>
      <c r="W416" s="0" t="s">
        <v>58</v>
      </c>
      <c r="X416" s="0" t="s">
        <v>58</v>
      </c>
      <c r="Y416" s="114" t="n">
        <v>1</v>
      </c>
      <c r="Z416" s="114" t="n">
        <v>0</v>
      </c>
      <c r="AA416" s="114" t="s">
        <v>58</v>
      </c>
      <c r="AB416" s="114" t="s">
        <v>58</v>
      </c>
      <c r="AC416" s="114" t="s">
        <v>58</v>
      </c>
      <c r="AD416" s="114" t="s">
        <v>58</v>
      </c>
      <c r="AE416" s="114" t="s">
        <v>58</v>
      </c>
      <c r="AF416" s="114" t="s">
        <v>58</v>
      </c>
      <c r="AG416" s="114" t="s">
        <v>58</v>
      </c>
      <c r="AH416" s="114" t="s">
        <v>2022</v>
      </c>
      <c r="AI416" s="114" t="s">
        <v>58</v>
      </c>
      <c r="AJ416" s="114" t="s">
        <v>58</v>
      </c>
      <c r="AK416" s="114" t="s">
        <v>58</v>
      </c>
      <c r="AL416" s="114" t="s">
        <v>2023</v>
      </c>
      <c r="AM416" s="114" t="s">
        <v>58</v>
      </c>
      <c r="AN416" s="114" t="s">
        <v>58</v>
      </c>
      <c r="AO416" s="114" t="s">
        <v>58</v>
      </c>
    </row>
    <row r="417" customFormat="false" ht="15" hidden="false" customHeight="true" outlineLevel="0" collapsed="false">
      <c r="A417" s="0" t="n">
        <v>130</v>
      </c>
      <c r="B417" s="0" t="s">
        <v>2024</v>
      </c>
      <c r="C417" s="0" t="s">
        <v>471</v>
      </c>
      <c r="D417" s="0" t="s">
        <v>438</v>
      </c>
      <c r="E417" s="0" t="s">
        <v>1794</v>
      </c>
      <c r="F417" s="0" t="n">
        <v>7512</v>
      </c>
      <c r="G417" s="0" t="s">
        <v>142</v>
      </c>
      <c r="H417" s="0" t="n">
        <v>145</v>
      </c>
      <c r="I417" s="0" t="n">
        <v>403</v>
      </c>
      <c r="J417" s="0" t="n">
        <v>0</v>
      </c>
      <c r="K417" s="0" t="n">
        <v>33</v>
      </c>
      <c r="L417" s="0" t="n">
        <v>212</v>
      </c>
      <c r="M417" s="0" t="n">
        <v>0</v>
      </c>
      <c r="N417" s="0" t="n">
        <v>14</v>
      </c>
      <c r="O417" s="0" t="n">
        <v>0</v>
      </c>
      <c r="P417" s="0" t="n">
        <v>24</v>
      </c>
      <c r="Q417" s="114" t="n">
        <v>25</v>
      </c>
      <c r="R417" s="0" t="n">
        <v>68</v>
      </c>
      <c r="S417" s="114" t="n">
        <v>1.3</v>
      </c>
      <c r="T417" s="114" t="n">
        <v>2</v>
      </c>
      <c r="U417" s="114" t="s">
        <v>58</v>
      </c>
      <c r="V417" s="0" t="s">
        <v>58</v>
      </c>
      <c r="W417" s="0" t="s">
        <v>58</v>
      </c>
      <c r="X417" s="0" t="s">
        <v>58</v>
      </c>
      <c r="Y417" s="114" t="n">
        <v>1</v>
      </c>
      <c r="Z417" s="114" t="n">
        <v>0</v>
      </c>
      <c r="AA417" s="114" t="s">
        <v>58</v>
      </c>
      <c r="AB417" s="114" t="s">
        <v>58</v>
      </c>
      <c r="AC417" s="114" t="s">
        <v>58</v>
      </c>
      <c r="AD417" s="114" t="s">
        <v>58</v>
      </c>
      <c r="AE417" s="114" t="s">
        <v>58</v>
      </c>
      <c r="AF417" s="114" t="s">
        <v>58</v>
      </c>
      <c r="AG417" s="114" t="s">
        <v>58</v>
      </c>
      <c r="AH417" s="114" t="s">
        <v>2025</v>
      </c>
      <c r="AI417" s="114" t="s">
        <v>58</v>
      </c>
      <c r="AJ417" s="114" t="s">
        <v>58</v>
      </c>
      <c r="AK417" s="114" t="s">
        <v>58</v>
      </c>
      <c r="AL417" s="114" t="s">
        <v>2026</v>
      </c>
      <c r="AM417" s="114" t="s">
        <v>58</v>
      </c>
      <c r="AN417" s="114" t="s">
        <v>58</v>
      </c>
      <c r="AO417" s="114" t="s">
        <v>58</v>
      </c>
    </row>
    <row r="418" customFormat="false" ht="14.4" hidden="false" customHeight="false" outlineLevel="0" collapsed="false">
      <c r="A418" s="0" t="n">
        <v>127</v>
      </c>
      <c r="B418" s="0" t="s">
        <v>2027</v>
      </c>
      <c r="C418" s="0" t="s">
        <v>471</v>
      </c>
      <c r="D418" s="0" t="s">
        <v>438</v>
      </c>
      <c r="E418" s="0" t="s">
        <v>1794</v>
      </c>
      <c r="F418" s="0" t="n">
        <v>6207</v>
      </c>
      <c r="G418" s="0" t="s">
        <v>140</v>
      </c>
      <c r="H418" s="0" t="n">
        <v>156</v>
      </c>
      <c r="I418" s="0" t="n">
        <v>376</v>
      </c>
      <c r="J418" s="0" t="n">
        <v>0</v>
      </c>
      <c r="K418" s="0" t="n">
        <v>37</v>
      </c>
      <c r="L418" s="0" t="n">
        <v>276</v>
      </c>
      <c r="M418" s="0" t="n">
        <v>0</v>
      </c>
      <c r="N418" s="0" t="n">
        <v>13</v>
      </c>
      <c r="O418" s="0" t="n">
        <v>0</v>
      </c>
      <c r="P418" s="0" t="n">
        <v>32</v>
      </c>
      <c r="Q418" s="114" t="n">
        <v>85</v>
      </c>
      <c r="R418" s="0" t="n">
        <v>72</v>
      </c>
      <c r="S418" s="114" t="n">
        <v>1.35</v>
      </c>
      <c r="T418" s="114" t="n">
        <v>1.5</v>
      </c>
      <c r="U418" s="114" t="s">
        <v>58</v>
      </c>
      <c r="V418" s="0" t="s">
        <v>58</v>
      </c>
      <c r="W418" s="0" t="s">
        <v>58</v>
      </c>
      <c r="X418" s="0" t="s">
        <v>58</v>
      </c>
      <c r="Y418" s="114" t="n">
        <v>0.7</v>
      </c>
      <c r="Z418" s="114" t="n">
        <v>0</v>
      </c>
      <c r="AA418" s="114" t="s">
        <v>58</v>
      </c>
      <c r="AB418" s="114" t="s">
        <v>58</v>
      </c>
      <c r="AC418" s="114" t="s">
        <v>58</v>
      </c>
      <c r="AD418" s="114" t="s">
        <v>58</v>
      </c>
      <c r="AE418" s="114" t="s">
        <v>58</v>
      </c>
      <c r="AF418" s="114" t="s">
        <v>58</v>
      </c>
      <c r="AG418" s="114" t="s">
        <v>58</v>
      </c>
      <c r="AH418" s="114" t="s">
        <v>2028</v>
      </c>
      <c r="AI418" s="114" t="s">
        <v>58</v>
      </c>
      <c r="AJ418" s="114" t="s">
        <v>58</v>
      </c>
      <c r="AK418" s="114" t="s">
        <v>58</v>
      </c>
      <c r="AL418" s="114" t="s">
        <v>2029</v>
      </c>
      <c r="AM418" s="114" t="s">
        <v>58</v>
      </c>
      <c r="AN418" s="114" t="s">
        <v>58</v>
      </c>
      <c r="AO418" s="114" t="s">
        <v>58</v>
      </c>
    </row>
    <row r="419" customFormat="false" ht="14.4" hidden="false" customHeight="false" outlineLevel="0" collapsed="false">
      <c r="A419" s="0" t="n">
        <v>128</v>
      </c>
      <c r="B419" s="0" t="s">
        <v>2030</v>
      </c>
      <c r="C419" s="0" t="s">
        <v>471</v>
      </c>
      <c r="D419" s="0" t="s">
        <v>472</v>
      </c>
      <c r="E419" s="0" t="s">
        <v>1794</v>
      </c>
      <c r="F419" s="0" t="n">
        <v>6032</v>
      </c>
      <c r="G419" s="0" t="s">
        <v>140</v>
      </c>
      <c r="H419" s="0" t="n">
        <v>152</v>
      </c>
      <c r="I419" s="0" t="n">
        <v>354</v>
      </c>
      <c r="J419" s="0" t="n">
        <v>0</v>
      </c>
      <c r="K419" s="0" t="n">
        <v>35</v>
      </c>
      <c r="L419" s="0" t="n">
        <v>268</v>
      </c>
      <c r="M419" s="0" t="n">
        <v>0</v>
      </c>
      <c r="N419" s="0" t="n">
        <v>12</v>
      </c>
      <c r="O419" s="0" t="n">
        <v>0</v>
      </c>
      <c r="P419" s="0" t="n">
        <v>31</v>
      </c>
      <c r="Q419" s="114" t="n">
        <v>28</v>
      </c>
      <c r="R419" s="0" t="n">
        <v>68</v>
      </c>
      <c r="S419" s="114" t="n">
        <v>1.35</v>
      </c>
      <c r="T419" s="114" t="n">
        <v>1.5</v>
      </c>
      <c r="U419" s="114" t="s">
        <v>58</v>
      </c>
      <c r="V419" s="0" t="s">
        <v>58</v>
      </c>
      <c r="W419" s="0" t="s">
        <v>58</v>
      </c>
      <c r="X419" s="0" t="s">
        <v>58</v>
      </c>
      <c r="Y419" s="114" t="n">
        <v>0.7</v>
      </c>
      <c r="Z419" s="114" t="n">
        <v>0</v>
      </c>
      <c r="AA419" s="114" t="s">
        <v>58</v>
      </c>
      <c r="AB419" s="114" t="s">
        <v>58</v>
      </c>
      <c r="AC419" s="114" t="s">
        <v>58</v>
      </c>
      <c r="AD419" s="114" t="s">
        <v>58</v>
      </c>
      <c r="AE419" s="114" t="s">
        <v>58</v>
      </c>
      <c r="AF419" s="114" t="s">
        <v>58</v>
      </c>
      <c r="AG419" s="114" t="s">
        <v>58</v>
      </c>
      <c r="AH419" s="114" t="s">
        <v>2031</v>
      </c>
      <c r="AI419" s="114" t="s">
        <v>58</v>
      </c>
      <c r="AJ419" s="114" t="s">
        <v>58</v>
      </c>
      <c r="AK419" s="114" t="s">
        <v>58</v>
      </c>
      <c r="AL419" s="114" t="s">
        <v>2032</v>
      </c>
      <c r="AM419" s="114" t="s">
        <v>58</v>
      </c>
      <c r="AN419" s="114" t="s">
        <v>58</v>
      </c>
      <c r="AO419" s="114" t="s">
        <v>58</v>
      </c>
    </row>
    <row r="420" customFormat="false" ht="14.4" hidden="false" customHeight="false" outlineLevel="0" collapsed="false">
      <c r="B420" s="0" t="s">
        <v>2033</v>
      </c>
      <c r="C420" s="0" t="s">
        <v>1290</v>
      </c>
      <c r="D420" s="0" t="s">
        <v>430</v>
      </c>
      <c r="E420" s="0" t="s">
        <v>114</v>
      </c>
      <c r="F420" s="0" t="n">
        <v>8428</v>
      </c>
      <c r="G420" s="0" t="s">
        <v>142</v>
      </c>
      <c r="H420" s="0" t="n">
        <v>167</v>
      </c>
      <c r="I420" s="0" t="n">
        <v>447</v>
      </c>
      <c r="J420" s="0" t="n">
        <v>0</v>
      </c>
      <c r="K420" s="0" t="n">
        <v>42</v>
      </c>
      <c r="L420" s="0" t="n">
        <v>293</v>
      </c>
      <c r="M420" s="0" t="n">
        <v>0</v>
      </c>
      <c r="N420" s="0" t="n">
        <v>15</v>
      </c>
      <c r="O420" s="0" t="n">
        <v>0</v>
      </c>
      <c r="P420" s="0" t="n">
        <v>32</v>
      </c>
      <c r="Q420" s="0" t="n">
        <v>19</v>
      </c>
      <c r="R420" s="0" t="n">
        <v>66</v>
      </c>
      <c r="S420" s="114" t="n">
        <v>1.6</v>
      </c>
      <c r="T420" s="114" t="n">
        <v>2</v>
      </c>
      <c r="U420" s="114" t="s">
        <v>58</v>
      </c>
      <c r="V420" s="0" t="s">
        <v>58</v>
      </c>
      <c r="W420" s="0" t="s">
        <v>58</v>
      </c>
      <c r="X420" s="0" t="s">
        <v>58</v>
      </c>
      <c r="Y420" s="114" t="n">
        <v>1</v>
      </c>
      <c r="Z420" s="114" t="n">
        <v>0</v>
      </c>
      <c r="AA420" s="0" t="s">
        <v>2033</v>
      </c>
      <c r="AB420" s="0" t="s">
        <v>2034</v>
      </c>
      <c r="AE420" s="114"/>
      <c r="AF420" s="114"/>
      <c r="AG420" s="114"/>
      <c r="AI420" s="114"/>
      <c r="AJ420" s="114"/>
      <c r="AK420" s="114"/>
      <c r="AM420" s="114"/>
      <c r="AN420" s="114"/>
      <c r="AO420" s="114"/>
    </row>
    <row r="421" customFormat="false" ht="14.4" hidden="false" customHeight="false" outlineLevel="0" collapsed="false">
      <c r="A421" s="0" t="n">
        <v>133</v>
      </c>
      <c r="B421" s="0" t="s">
        <v>2035</v>
      </c>
      <c r="C421" s="0" t="s">
        <v>471</v>
      </c>
      <c r="D421" s="0" t="s">
        <v>438</v>
      </c>
      <c r="E421" s="0" t="s">
        <v>1794</v>
      </c>
      <c r="F421" s="0" t="n">
        <v>7630</v>
      </c>
      <c r="G421" s="0" t="s">
        <v>142</v>
      </c>
      <c r="H421" s="0" t="n">
        <v>149</v>
      </c>
      <c r="I421" s="0" t="n">
        <v>407</v>
      </c>
      <c r="J421" s="0" t="n">
        <v>0</v>
      </c>
      <c r="K421" s="0" t="n">
        <v>31</v>
      </c>
      <c r="L421" s="0" t="n">
        <v>219</v>
      </c>
      <c r="M421" s="0" t="n">
        <v>0</v>
      </c>
      <c r="N421" s="0" t="n">
        <v>14</v>
      </c>
      <c r="O421" s="0" t="n">
        <v>0</v>
      </c>
      <c r="P421" s="0" t="n">
        <v>23</v>
      </c>
      <c r="Q421" s="114" t="n">
        <v>81</v>
      </c>
      <c r="R421" s="0" t="n">
        <v>70</v>
      </c>
      <c r="S421" s="114" t="n">
        <v>1.3</v>
      </c>
      <c r="T421" s="114" t="n">
        <v>2</v>
      </c>
      <c r="U421" s="114" t="s">
        <v>58</v>
      </c>
      <c r="V421" s="0" t="s">
        <v>58</v>
      </c>
      <c r="W421" s="0" t="s">
        <v>58</v>
      </c>
      <c r="X421" s="0" t="s">
        <v>58</v>
      </c>
      <c r="Y421" s="114" t="n">
        <v>1</v>
      </c>
      <c r="Z421" s="114" t="n">
        <v>0</v>
      </c>
      <c r="AA421" s="0" t="s">
        <v>1824</v>
      </c>
      <c r="AB421" s="114" t="s">
        <v>58</v>
      </c>
      <c r="AC421" s="114" t="s">
        <v>58</v>
      </c>
      <c r="AD421" s="114" t="s">
        <v>58</v>
      </c>
      <c r="AE421" s="114" t="s">
        <v>58</v>
      </c>
      <c r="AF421" s="114" t="s">
        <v>58</v>
      </c>
      <c r="AG421" s="114" t="s">
        <v>58</v>
      </c>
      <c r="AH421" s="0" t="s">
        <v>2002</v>
      </c>
      <c r="AI421" s="114" t="s">
        <v>58</v>
      </c>
      <c r="AJ421" s="114" t="s">
        <v>58</v>
      </c>
      <c r="AK421" s="114" t="s">
        <v>58</v>
      </c>
      <c r="AL421" s="0" t="s">
        <v>1826</v>
      </c>
      <c r="AM421" s="114" t="s">
        <v>58</v>
      </c>
      <c r="AN421" s="114" t="s">
        <v>58</v>
      </c>
      <c r="AO421" s="114" t="s">
        <v>58</v>
      </c>
    </row>
    <row r="422" customFormat="false" ht="14.4" hidden="false" customHeight="false" outlineLevel="0" collapsed="false">
      <c r="B422" s="0" t="s">
        <v>2036</v>
      </c>
      <c r="C422" s="0" t="s">
        <v>680</v>
      </c>
      <c r="D422" s="0" t="s">
        <v>430</v>
      </c>
      <c r="E422" s="0" t="s">
        <v>114</v>
      </c>
      <c r="F422" s="0" t="n">
        <v>8324</v>
      </c>
      <c r="G422" s="0" t="s">
        <v>142</v>
      </c>
      <c r="H422" s="0" t="n">
        <v>139</v>
      </c>
      <c r="I422" s="0" t="n">
        <v>427</v>
      </c>
      <c r="J422" s="0" t="n">
        <v>0</v>
      </c>
      <c r="K422" s="0" t="n">
        <v>35</v>
      </c>
      <c r="L422" s="0" t="n">
        <v>247</v>
      </c>
      <c r="M422" s="0" t="n">
        <v>0</v>
      </c>
      <c r="N422" s="0" t="n">
        <v>15</v>
      </c>
      <c r="O422" s="0" t="n">
        <v>0</v>
      </c>
      <c r="P422" s="0" t="n">
        <v>28</v>
      </c>
      <c r="Q422" s="0" t="n">
        <v>46</v>
      </c>
      <c r="R422" s="0" t="n">
        <v>58</v>
      </c>
      <c r="S422" s="114" t="n">
        <v>1.35</v>
      </c>
      <c r="T422" s="114" t="n">
        <v>2</v>
      </c>
      <c r="U422" s="114" t="s">
        <v>58</v>
      </c>
      <c r="V422" s="0" t="s">
        <v>58</v>
      </c>
      <c r="W422" s="0" t="s">
        <v>58</v>
      </c>
      <c r="X422" s="0" t="s">
        <v>58</v>
      </c>
      <c r="Y422" s="114" t="n">
        <v>1</v>
      </c>
      <c r="Z422" s="114" t="n">
        <v>0</v>
      </c>
      <c r="AA422" s="159" t="s">
        <v>2037</v>
      </c>
      <c r="AB422" s="159" t="s">
        <v>2038</v>
      </c>
      <c r="AC422" s="159" t="s">
        <v>2039</v>
      </c>
      <c r="AD422" s="159" t="s">
        <v>2040</v>
      </c>
      <c r="AE422" s="114" t="s">
        <v>58</v>
      </c>
      <c r="AF422" s="114" t="s">
        <v>58</v>
      </c>
      <c r="AG422" s="114" t="s">
        <v>58</v>
      </c>
      <c r="AI422" s="114"/>
      <c r="AJ422" s="114"/>
      <c r="AK422" s="114"/>
      <c r="AM422" s="114"/>
      <c r="AN422" s="114"/>
      <c r="AO422" s="114"/>
    </row>
    <row r="423" customFormat="false" ht="14.4" hidden="false" customHeight="false" outlineLevel="0" collapsed="false">
      <c r="A423" s="0" t="n">
        <v>248</v>
      </c>
      <c r="B423" s="0" t="s">
        <v>2041</v>
      </c>
      <c r="C423" s="0" t="s">
        <v>1065</v>
      </c>
      <c r="D423" s="0" t="s">
        <v>438</v>
      </c>
      <c r="E423" s="0" t="s">
        <v>1794</v>
      </c>
      <c r="F423" s="0" t="n">
        <v>7455</v>
      </c>
      <c r="G423" s="0" t="s">
        <v>140</v>
      </c>
      <c r="H423" s="0" t="n">
        <v>157</v>
      </c>
      <c r="I423" s="0" t="n">
        <v>366</v>
      </c>
      <c r="J423" s="0" t="n">
        <v>154</v>
      </c>
      <c r="K423" s="0" t="n">
        <v>38</v>
      </c>
      <c r="L423" s="0" t="n">
        <v>248</v>
      </c>
      <c r="M423" s="0" t="n">
        <v>0</v>
      </c>
      <c r="N423" s="0" t="n">
        <v>13</v>
      </c>
      <c r="O423" s="0" t="n">
        <v>0</v>
      </c>
      <c r="P423" s="0" t="n">
        <v>31</v>
      </c>
      <c r="Q423" s="114" t="n">
        <v>43</v>
      </c>
      <c r="R423" s="0" t="n">
        <v>66</v>
      </c>
      <c r="S423" s="114" t="n">
        <v>1.35</v>
      </c>
      <c r="T423" s="114" t="n">
        <v>1.5</v>
      </c>
      <c r="U423" s="114" t="s">
        <v>58</v>
      </c>
      <c r="V423" s="0" t="s">
        <v>58</v>
      </c>
      <c r="W423" s="0" t="s">
        <v>58</v>
      </c>
      <c r="X423" s="0" t="s">
        <v>58</v>
      </c>
      <c r="Y423" s="114" t="n">
        <v>0.7</v>
      </c>
      <c r="Z423" s="114" t="n">
        <v>0</v>
      </c>
      <c r="AA423" s="0" t="s">
        <v>2042</v>
      </c>
      <c r="AB423" s="0" t="s">
        <v>1892</v>
      </c>
      <c r="AC423" s="114" t="s">
        <v>58</v>
      </c>
      <c r="AD423" s="114" t="s">
        <v>58</v>
      </c>
      <c r="AE423" s="114" t="s">
        <v>58</v>
      </c>
      <c r="AF423" s="114" t="s">
        <v>58</v>
      </c>
      <c r="AG423" s="114" t="s">
        <v>58</v>
      </c>
      <c r="AH423" s="0" t="s">
        <v>2043</v>
      </c>
      <c r="AI423" s="0" t="s">
        <v>2044</v>
      </c>
      <c r="AJ423" s="114" t="s">
        <v>58</v>
      </c>
      <c r="AK423" s="114" t="s">
        <v>58</v>
      </c>
      <c r="AL423" s="0" t="s">
        <v>2042</v>
      </c>
      <c r="AM423" s="0" t="s">
        <v>1892</v>
      </c>
      <c r="AN423" s="114" t="s">
        <v>58</v>
      </c>
      <c r="AO423" s="114" t="s">
        <v>58</v>
      </c>
    </row>
    <row r="424" customFormat="false" ht="14.4" hidden="false" customHeight="false" outlineLevel="0" collapsed="false">
      <c r="A424" s="0" t="n">
        <v>65</v>
      </c>
      <c r="B424" s="0" t="s">
        <v>2045</v>
      </c>
      <c r="C424" s="0" t="s">
        <v>437</v>
      </c>
      <c r="D424" s="0" t="s">
        <v>430</v>
      </c>
      <c r="E424" s="0" t="s">
        <v>1794</v>
      </c>
      <c r="F424" s="0" t="n">
        <v>8031</v>
      </c>
      <c r="G424" s="0" t="s">
        <v>142</v>
      </c>
      <c r="H424" s="0" t="n">
        <v>159</v>
      </c>
      <c r="I424" s="0" t="n">
        <v>414</v>
      </c>
      <c r="J424" s="0" t="n">
        <v>0</v>
      </c>
      <c r="K424" s="0" t="n">
        <v>33</v>
      </c>
      <c r="L424" s="0" t="n">
        <v>400</v>
      </c>
      <c r="M424" s="0" t="n">
        <v>0</v>
      </c>
      <c r="N424" s="0" t="n">
        <v>15</v>
      </c>
      <c r="O424" s="0" t="n">
        <v>0</v>
      </c>
      <c r="P424" s="0" t="n">
        <v>27</v>
      </c>
      <c r="Q424" s="114" t="n">
        <v>76</v>
      </c>
      <c r="R424" s="0" t="n">
        <v>71</v>
      </c>
      <c r="S424" s="114" t="n">
        <v>1.3</v>
      </c>
      <c r="T424" s="114" t="n">
        <v>2</v>
      </c>
      <c r="U424" s="114" t="s">
        <v>58</v>
      </c>
      <c r="V424" s="0" t="s">
        <v>58</v>
      </c>
      <c r="W424" s="0" t="s">
        <v>58</v>
      </c>
      <c r="X424" s="0" t="s">
        <v>58</v>
      </c>
      <c r="Y424" s="114" t="n">
        <v>1</v>
      </c>
      <c r="Z424" s="114" t="n">
        <v>0</v>
      </c>
      <c r="AA424" s="114" t="s">
        <v>58</v>
      </c>
      <c r="AB424" s="114" t="s">
        <v>58</v>
      </c>
      <c r="AC424" s="114" t="s">
        <v>58</v>
      </c>
      <c r="AD424" s="114" t="s">
        <v>58</v>
      </c>
      <c r="AE424" s="114" t="s">
        <v>58</v>
      </c>
      <c r="AF424" s="114" t="s">
        <v>58</v>
      </c>
      <c r="AG424" s="114" t="s">
        <v>58</v>
      </c>
      <c r="AH424" s="114" t="s">
        <v>2046</v>
      </c>
      <c r="AI424" s="114" t="s">
        <v>2006</v>
      </c>
      <c r="AJ424" s="114" t="s">
        <v>58</v>
      </c>
      <c r="AK424" s="114" t="s">
        <v>58</v>
      </c>
      <c r="AL424" s="114" t="s">
        <v>2047</v>
      </c>
      <c r="AM424" s="114" t="s">
        <v>1591</v>
      </c>
      <c r="AN424" s="114" t="s">
        <v>58</v>
      </c>
      <c r="AO424" s="114" t="s">
        <v>58</v>
      </c>
    </row>
    <row r="425" customFormat="false" ht="14.4" hidden="false" customHeight="false" outlineLevel="0" collapsed="false">
      <c r="A425" s="0" t="s">
        <v>2048</v>
      </c>
      <c r="B425" s="0" t="s">
        <v>2049</v>
      </c>
      <c r="C425" s="0" t="s">
        <v>831</v>
      </c>
      <c r="D425" s="0" t="s">
        <v>430</v>
      </c>
      <c r="E425" s="0" t="s">
        <v>114</v>
      </c>
      <c r="F425" s="0" t="n">
        <v>7648</v>
      </c>
      <c r="G425" s="0" t="s">
        <v>142</v>
      </c>
      <c r="H425" s="0" t="n">
        <v>142</v>
      </c>
      <c r="I425" s="0" t="n">
        <v>409</v>
      </c>
      <c r="J425" s="0" t="n">
        <v>212</v>
      </c>
      <c r="K425" s="0" t="n">
        <v>30</v>
      </c>
      <c r="L425" s="0" t="n">
        <v>199</v>
      </c>
      <c r="M425" s="0" t="n">
        <v>0</v>
      </c>
      <c r="N425" s="0" t="n">
        <v>15</v>
      </c>
      <c r="O425" s="0" t="n">
        <v>0</v>
      </c>
      <c r="P425" s="0" t="n">
        <v>26</v>
      </c>
      <c r="Q425" s="0" t="n">
        <v>66</v>
      </c>
      <c r="R425" s="0" t="n">
        <v>55</v>
      </c>
      <c r="S425" s="114" t="n">
        <v>1.3</v>
      </c>
      <c r="T425" s="114" t="n">
        <v>2</v>
      </c>
      <c r="U425" s="114" t="s">
        <v>58</v>
      </c>
      <c r="V425" s="114" t="s">
        <v>58</v>
      </c>
      <c r="W425" s="0" t="s">
        <v>58</v>
      </c>
      <c r="X425" s="0" t="s">
        <v>58</v>
      </c>
      <c r="Y425" s="114" t="n">
        <v>1</v>
      </c>
      <c r="Z425" s="114" t="n">
        <v>0</v>
      </c>
      <c r="AA425" s="0" t="s">
        <v>2050</v>
      </c>
      <c r="AB425" s="0" t="s">
        <v>2051</v>
      </c>
      <c r="AC425" s="114" t="s">
        <v>58</v>
      </c>
      <c r="AD425" s="114" t="s">
        <v>58</v>
      </c>
      <c r="AE425" s="114" t="s">
        <v>58</v>
      </c>
      <c r="AF425" s="114" t="s">
        <v>58</v>
      </c>
      <c r="AG425" s="114" t="s">
        <v>58</v>
      </c>
      <c r="AH425" s="0" t="s">
        <v>2052</v>
      </c>
      <c r="AI425" s="0" t="s">
        <v>2053</v>
      </c>
      <c r="AJ425" s="114" t="s">
        <v>58</v>
      </c>
      <c r="AK425" s="114" t="s">
        <v>58</v>
      </c>
      <c r="AL425" s="0" t="s">
        <v>2054</v>
      </c>
      <c r="AM425" s="0" t="s">
        <v>2055</v>
      </c>
      <c r="AN425" s="114" t="s">
        <v>58</v>
      </c>
      <c r="AO425" s="114" t="s">
        <v>58</v>
      </c>
    </row>
    <row r="426" customFormat="false" ht="14.4" hidden="false" customHeight="false" outlineLevel="0" collapsed="false">
      <c r="A426" s="0" t="n">
        <v>425</v>
      </c>
      <c r="B426" s="0" t="s">
        <v>2056</v>
      </c>
      <c r="C426" s="0" t="s">
        <v>429</v>
      </c>
      <c r="D426" s="0" t="s">
        <v>430</v>
      </c>
      <c r="E426" s="0" t="s">
        <v>114</v>
      </c>
      <c r="F426" s="0" t="n">
        <v>8229</v>
      </c>
      <c r="G426" s="0" t="s">
        <v>142</v>
      </c>
      <c r="H426" s="0" t="n">
        <v>139</v>
      </c>
      <c r="I426" s="0" t="n">
        <v>421</v>
      </c>
      <c r="J426" s="0" t="n">
        <v>213</v>
      </c>
      <c r="K426" s="0" t="n">
        <v>37</v>
      </c>
      <c r="L426" s="0" t="n">
        <v>215</v>
      </c>
      <c r="M426" s="0" t="n">
        <v>0</v>
      </c>
      <c r="N426" s="0" t="n">
        <v>15</v>
      </c>
      <c r="O426" s="0" t="n">
        <v>0</v>
      </c>
      <c r="P426" s="0" t="n">
        <v>28</v>
      </c>
      <c r="Q426" s="0" t="n">
        <v>37</v>
      </c>
      <c r="R426" s="0" t="n">
        <v>68</v>
      </c>
      <c r="S426" s="114" t="n">
        <v>1.35</v>
      </c>
      <c r="T426" s="114" t="n">
        <v>2</v>
      </c>
      <c r="U426" s="114" t="s">
        <v>58</v>
      </c>
      <c r="V426" s="0" t="s">
        <v>58</v>
      </c>
      <c r="W426" s="0" t="s">
        <v>58</v>
      </c>
      <c r="X426" s="0" t="s">
        <v>58</v>
      </c>
      <c r="Y426" s="114" t="n">
        <v>1</v>
      </c>
      <c r="Z426" s="114" t="n">
        <v>0</v>
      </c>
      <c r="AA426" s="161" t="s">
        <v>2057</v>
      </c>
      <c r="AB426" s="161" t="s">
        <v>2058</v>
      </c>
      <c r="AC426" s="161" t="s">
        <v>2059</v>
      </c>
      <c r="AD426" s="161" t="s">
        <v>2060</v>
      </c>
      <c r="AE426" s="114" t="s">
        <v>58</v>
      </c>
      <c r="AF426" s="114" t="s">
        <v>58</v>
      </c>
      <c r="AG426" s="114" t="s">
        <v>58</v>
      </c>
      <c r="AH426" s="0" t="s">
        <v>2061</v>
      </c>
      <c r="AI426" s="114" t="s">
        <v>2062</v>
      </c>
      <c r="AJ426" s="114" t="s">
        <v>58</v>
      </c>
      <c r="AK426" s="114" t="s">
        <v>58</v>
      </c>
      <c r="AL426" s="0" t="s">
        <v>2063</v>
      </c>
      <c r="AM426" s="114" t="s">
        <v>2064</v>
      </c>
      <c r="AN426" s="114" t="s">
        <v>58</v>
      </c>
      <c r="AO426" s="114" t="s">
        <v>58</v>
      </c>
    </row>
    <row r="427" customFormat="false" ht="14.4" hidden="false" customHeight="false" outlineLevel="0" collapsed="false">
      <c r="A427" s="0" t="n">
        <v>58</v>
      </c>
      <c r="B427" s="0" t="s">
        <v>2065</v>
      </c>
      <c r="C427" s="0" t="s">
        <v>437</v>
      </c>
      <c r="D427" s="0" t="s">
        <v>472</v>
      </c>
      <c r="E427" s="0" t="s">
        <v>1794</v>
      </c>
      <c r="F427" s="0" t="n">
        <v>7385</v>
      </c>
      <c r="G427" s="0" t="s">
        <v>142</v>
      </c>
      <c r="H427" s="0" t="n">
        <v>139</v>
      </c>
      <c r="I427" s="0" t="n">
        <v>391</v>
      </c>
      <c r="J427" s="0" t="n">
        <v>0</v>
      </c>
      <c r="K427" s="0" t="n">
        <v>28</v>
      </c>
      <c r="L427" s="0" t="n">
        <v>211</v>
      </c>
      <c r="M427" s="0" t="n">
        <v>0</v>
      </c>
      <c r="N427" s="0" t="n">
        <v>13</v>
      </c>
      <c r="O427" s="0" t="n">
        <v>0</v>
      </c>
      <c r="P427" s="0" t="n">
        <v>21</v>
      </c>
      <c r="Q427" s="114" t="n">
        <v>51</v>
      </c>
      <c r="R427" s="0" t="n">
        <v>69</v>
      </c>
      <c r="S427" s="114" t="n">
        <v>1.3</v>
      </c>
      <c r="T427" s="114" t="n">
        <v>2</v>
      </c>
      <c r="U427" s="114" t="s">
        <v>58</v>
      </c>
      <c r="V427" s="0" t="s">
        <v>58</v>
      </c>
      <c r="W427" s="0" t="s">
        <v>58</v>
      </c>
      <c r="X427" s="0" t="s">
        <v>58</v>
      </c>
      <c r="Y427" s="114" t="n">
        <v>1</v>
      </c>
      <c r="Z427" s="114" t="n">
        <v>0</v>
      </c>
      <c r="AA427" s="114" t="s">
        <v>58</v>
      </c>
      <c r="AB427" s="114" t="s">
        <v>58</v>
      </c>
      <c r="AC427" s="114" t="s">
        <v>58</v>
      </c>
      <c r="AD427" s="114" t="s">
        <v>58</v>
      </c>
      <c r="AE427" s="114" t="s">
        <v>58</v>
      </c>
      <c r="AF427" s="114" t="s">
        <v>58</v>
      </c>
      <c r="AG427" s="114" t="s">
        <v>58</v>
      </c>
      <c r="AH427" s="114" t="s">
        <v>2066</v>
      </c>
      <c r="AI427" s="114" t="s">
        <v>58</v>
      </c>
      <c r="AJ427" s="114" t="s">
        <v>58</v>
      </c>
      <c r="AK427" s="114" t="s">
        <v>58</v>
      </c>
      <c r="AL427" s="114" t="s">
        <v>2067</v>
      </c>
      <c r="AM427" s="114" t="s">
        <v>58</v>
      </c>
      <c r="AN427" s="114" t="s">
        <v>58</v>
      </c>
      <c r="AO427" s="114" t="s">
        <v>58</v>
      </c>
    </row>
    <row r="428" customFormat="false" ht="14.4" hidden="false" customHeight="false" outlineLevel="0" collapsed="false">
      <c r="A428" s="0" t="n">
        <v>150</v>
      </c>
      <c r="B428" s="0" t="s">
        <v>2068</v>
      </c>
      <c r="C428" s="0" t="s">
        <v>471</v>
      </c>
      <c r="D428" s="0" t="s">
        <v>438</v>
      </c>
      <c r="E428" s="0" t="s">
        <v>1784</v>
      </c>
      <c r="F428" s="0" t="n">
        <v>3642</v>
      </c>
      <c r="G428" s="0" t="s">
        <v>138</v>
      </c>
      <c r="H428" s="0" t="n">
        <v>145</v>
      </c>
      <c r="I428" s="0" t="n">
        <v>282</v>
      </c>
      <c r="J428" s="0" t="n">
        <v>0</v>
      </c>
      <c r="K428" s="0" t="n">
        <v>61</v>
      </c>
      <c r="L428" s="0" t="n">
        <v>171</v>
      </c>
      <c r="M428" s="0" t="n">
        <v>0</v>
      </c>
      <c r="N428" s="0" t="n">
        <v>10</v>
      </c>
      <c r="O428" s="0" t="n">
        <v>0</v>
      </c>
      <c r="P428" s="0" t="n">
        <v>12</v>
      </c>
      <c r="Q428" s="114" t="n">
        <v>19</v>
      </c>
      <c r="R428" s="0" t="n">
        <v>81</v>
      </c>
      <c r="S428" s="114" t="n">
        <v>1.2</v>
      </c>
      <c r="T428" s="114" t="n">
        <v>2</v>
      </c>
      <c r="U428" s="114" t="s">
        <v>58</v>
      </c>
      <c r="V428" s="0" t="s">
        <v>58</v>
      </c>
      <c r="W428" s="0" t="s">
        <v>58</v>
      </c>
      <c r="X428" s="0" t="s">
        <v>58</v>
      </c>
      <c r="Y428" s="114" t="n">
        <v>1</v>
      </c>
      <c r="Z428" s="114" t="n">
        <v>0</v>
      </c>
      <c r="AA428" s="0" t="s">
        <v>1839</v>
      </c>
      <c r="AB428" s="0" t="s">
        <v>1840</v>
      </c>
      <c r="AC428" s="114" t="s">
        <v>58</v>
      </c>
      <c r="AD428" s="114" t="s">
        <v>58</v>
      </c>
      <c r="AE428" s="114" t="s">
        <v>58</v>
      </c>
      <c r="AF428" s="114" t="s">
        <v>58</v>
      </c>
      <c r="AG428" s="114" t="s">
        <v>58</v>
      </c>
      <c r="AH428" s="0" t="s">
        <v>1841</v>
      </c>
      <c r="AI428" s="0" t="s">
        <v>58</v>
      </c>
      <c r="AJ428" s="114" t="s">
        <v>58</v>
      </c>
      <c r="AK428" s="114" t="s">
        <v>58</v>
      </c>
      <c r="AL428" s="0" t="s">
        <v>1842</v>
      </c>
      <c r="AM428" s="0" t="s">
        <v>58</v>
      </c>
      <c r="AN428" s="114" t="s">
        <v>58</v>
      </c>
      <c r="AO428" s="114" t="s">
        <v>58</v>
      </c>
    </row>
    <row r="429" customFormat="false" ht="14.4" hidden="false" customHeight="false" outlineLevel="0" collapsed="false">
      <c r="A429" s="0" t="n">
        <v>251</v>
      </c>
      <c r="B429" s="0" t="s">
        <v>2069</v>
      </c>
      <c r="C429" s="0" t="s">
        <v>1065</v>
      </c>
      <c r="D429" s="0" t="s">
        <v>430</v>
      </c>
      <c r="E429" s="0" t="s">
        <v>1794</v>
      </c>
      <c r="F429" s="0" t="n">
        <v>8401</v>
      </c>
      <c r="G429" s="0" t="s">
        <v>142</v>
      </c>
      <c r="H429" s="0" t="n">
        <v>150</v>
      </c>
      <c r="I429" s="0" t="n">
        <v>423</v>
      </c>
      <c r="J429" s="0" t="n">
        <v>217</v>
      </c>
      <c r="K429" s="0" t="n">
        <v>33</v>
      </c>
      <c r="L429" s="0" t="n">
        <v>208</v>
      </c>
      <c r="M429" s="0" t="n">
        <v>0</v>
      </c>
      <c r="N429" s="0" t="n">
        <v>15</v>
      </c>
      <c r="O429" s="0" t="n">
        <v>0</v>
      </c>
      <c r="P429" s="0" t="n">
        <v>30</v>
      </c>
      <c r="Q429" s="114" t="n">
        <v>45</v>
      </c>
      <c r="R429" s="0" t="n">
        <v>67</v>
      </c>
      <c r="S429" s="114" t="n">
        <v>1.3</v>
      </c>
      <c r="T429" s="114" t="n">
        <v>2</v>
      </c>
      <c r="U429" s="114" t="s">
        <v>58</v>
      </c>
      <c r="V429" s="0" t="s">
        <v>58</v>
      </c>
      <c r="W429" s="0" t="s">
        <v>58</v>
      </c>
      <c r="X429" s="0" t="s">
        <v>58</v>
      </c>
      <c r="Y429" s="114" t="n">
        <v>0.9</v>
      </c>
      <c r="Z429" s="114" t="n">
        <v>0</v>
      </c>
      <c r="AA429" s="0" t="s">
        <v>2070</v>
      </c>
      <c r="AB429" s="114" t="s">
        <v>58</v>
      </c>
      <c r="AC429" s="114" t="s">
        <v>58</v>
      </c>
      <c r="AD429" s="114" t="s">
        <v>58</v>
      </c>
      <c r="AE429" s="114" t="s">
        <v>58</v>
      </c>
      <c r="AF429" s="114" t="s">
        <v>58</v>
      </c>
      <c r="AG429" s="114" t="s">
        <v>58</v>
      </c>
      <c r="AH429" s="0" t="s">
        <v>2071</v>
      </c>
      <c r="AI429" s="114" t="s">
        <v>2072</v>
      </c>
      <c r="AJ429" s="114" t="s">
        <v>58</v>
      </c>
      <c r="AK429" s="114" t="s">
        <v>58</v>
      </c>
      <c r="AL429" s="0" t="s">
        <v>2073</v>
      </c>
      <c r="AM429" s="114" t="s">
        <v>2070</v>
      </c>
      <c r="AN429" s="114" t="s">
        <v>58</v>
      </c>
      <c r="AO429" s="114" t="s">
        <v>58</v>
      </c>
    </row>
    <row r="430" customFormat="false" ht="14.4" hidden="false" customHeight="false" outlineLevel="0" collapsed="false">
      <c r="B430" s="0" t="s">
        <v>2074</v>
      </c>
      <c r="C430" s="0" t="s">
        <v>429</v>
      </c>
      <c r="D430" s="0" t="s">
        <v>430</v>
      </c>
      <c r="E430" s="0" t="s">
        <v>114</v>
      </c>
      <c r="F430" s="0" t="n">
        <v>8056</v>
      </c>
      <c r="G430" s="0" t="s">
        <v>142</v>
      </c>
      <c r="H430" s="0" t="n">
        <v>145</v>
      </c>
      <c r="I430" s="0" t="n">
        <v>423</v>
      </c>
      <c r="J430" s="0" t="n">
        <v>217</v>
      </c>
      <c r="K430" s="0" t="n">
        <v>36</v>
      </c>
      <c r="L430" s="0" t="n">
        <v>199</v>
      </c>
      <c r="M430" s="0" t="n">
        <v>0</v>
      </c>
      <c r="N430" s="0" t="n">
        <v>15</v>
      </c>
      <c r="O430" s="0" t="n">
        <v>0</v>
      </c>
      <c r="P430" s="0" t="n">
        <v>26</v>
      </c>
      <c r="Q430" s="0" t="n">
        <v>12</v>
      </c>
      <c r="R430" s="0" t="n">
        <v>71</v>
      </c>
      <c r="S430" s="114" t="n">
        <v>1.35</v>
      </c>
      <c r="T430" s="114" t="n">
        <v>2</v>
      </c>
      <c r="U430" s="114" t="s">
        <v>58</v>
      </c>
      <c r="V430" s="0" t="s">
        <v>58</v>
      </c>
      <c r="W430" s="0" t="s">
        <v>58</v>
      </c>
      <c r="X430" s="0" t="s">
        <v>58</v>
      </c>
      <c r="Y430" s="114" t="n">
        <v>0.9</v>
      </c>
      <c r="Z430" s="114" t="n">
        <v>0</v>
      </c>
      <c r="AA430" s="0" t="s">
        <v>2075</v>
      </c>
      <c r="AB430" s="0" t="s">
        <v>2076</v>
      </c>
      <c r="AC430" s="0" t="s">
        <v>2077</v>
      </c>
      <c r="AD430" s="0" t="s">
        <v>2078</v>
      </c>
      <c r="AE430" s="0" t="s">
        <v>2079</v>
      </c>
      <c r="AF430" s="0" t="s">
        <v>2080</v>
      </c>
      <c r="AG430" s="0" t="s">
        <v>2081</v>
      </c>
      <c r="AI430" s="114"/>
      <c r="AJ430" s="114"/>
      <c r="AK430" s="114"/>
      <c r="AM430" s="114"/>
      <c r="AN430" s="114"/>
      <c r="AO430" s="114"/>
    </row>
    <row r="431" customFormat="false" ht="14.4" hidden="false" customHeight="false" outlineLevel="0" collapsed="false">
      <c r="B431" s="0" t="s">
        <v>2082</v>
      </c>
      <c r="C431" s="0" t="s">
        <v>471</v>
      </c>
      <c r="D431" s="0" t="s">
        <v>438</v>
      </c>
      <c r="E431" s="0" t="s">
        <v>114</v>
      </c>
      <c r="F431" s="0" t="n">
        <v>7467</v>
      </c>
      <c r="G431" s="0" t="s">
        <v>142</v>
      </c>
      <c r="H431" s="0" t="n">
        <v>150</v>
      </c>
      <c r="I431" s="0" t="n">
        <v>407</v>
      </c>
      <c r="J431" s="0" t="n">
        <v>0</v>
      </c>
      <c r="K431" s="0" t="n">
        <v>31</v>
      </c>
      <c r="L431" s="0" t="n">
        <v>212</v>
      </c>
      <c r="M431" s="0" t="n">
        <v>0</v>
      </c>
      <c r="N431" s="0" t="n">
        <v>14</v>
      </c>
      <c r="O431" s="0" t="n">
        <v>0</v>
      </c>
      <c r="P431" s="0" t="n">
        <v>24</v>
      </c>
      <c r="Q431" s="0" t="n">
        <v>72</v>
      </c>
      <c r="R431" s="0" t="n">
        <v>70</v>
      </c>
      <c r="S431" s="114" t="n">
        <v>1.3</v>
      </c>
      <c r="T431" s="114" t="n">
        <v>2</v>
      </c>
      <c r="U431" s="114" t="s">
        <v>58</v>
      </c>
      <c r="V431" s="0" t="s">
        <v>58</v>
      </c>
      <c r="W431" s="0" t="s">
        <v>58</v>
      </c>
      <c r="X431" s="0" t="s">
        <v>58</v>
      </c>
      <c r="Y431" s="114" t="n">
        <v>1</v>
      </c>
      <c r="Z431" s="114" t="n">
        <v>0</v>
      </c>
      <c r="AA431" s="0" t="s">
        <v>2083</v>
      </c>
      <c r="AB431" s="0" t="s">
        <v>2084</v>
      </c>
      <c r="AC431" s="0" t="s">
        <v>2085</v>
      </c>
      <c r="AE431" s="114"/>
      <c r="AF431" s="114"/>
      <c r="AG431" s="114"/>
      <c r="AI431" s="114"/>
      <c r="AJ431" s="114"/>
      <c r="AK431" s="114"/>
      <c r="AM431" s="114"/>
      <c r="AN431" s="114"/>
      <c r="AO431" s="114"/>
    </row>
    <row r="432" customFormat="false" ht="14.4" hidden="false" customHeight="false" outlineLevel="0" collapsed="false">
      <c r="A432" s="0" t="n">
        <v>131</v>
      </c>
      <c r="B432" s="0" t="s">
        <v>2086</v>
      </c>
      <c r="C432" s="0" t="s">
        <v>471</v>
      </c>
      <c r="D432" s="0" t="s">
        <v>430</v>
      </c>
      <c r="E432" s="0" t="s">
        <v>1794</v>
      </c>
      <c r="F432" s="0" t="n">
        <v>7783</v>
      </c>
      <c r="G432" s="0" t="s">
        <v>142</v>
      </c>
      <c r="H432" s="0" t="n">
        <v>159</v>
      </c>
      <c r="I432" s="0" t="n">
        <v>426</v>
      </c>
      <c r="J432" s="0" t="n">
        <v>0</v>
      </c>
      <c r="K432" s="0" t="n">
        <v>33</v>
      </c>
      <c r="L432" s="0" t="n">
        <v>220</v>
      </c>
      <c r="M432" s="0" t="n">
        <v>0</v>
      </c>
      <c r="N432" s="0" t="n">
        <v>15</v>
      </c>
      <c r="O432" s="0" t="n">
        <v>0</v>
      </c>
      <c r="P432" s="0" t="n">
        <v>24</v>
      </c>
      <c r="Q432" s="114" t="n">
        <v>90</v>
      </c>
      <c r="R432" s="0" t="n">
        <v>75</v>
      </c>
      <c r="S432" s="114" t="n">
        <v>1.3</v>
      </c>
      <c r="T432" s="114" t="n">
        <v>2</v>
      </c>
      <c r="U432" s="114" t="s">
        <v>58</v>
      </c>
      <c r="V432" s="0" t="s">
        <v>58</v>
      </c>
      <c r="W432" s="0" t="s">
        <v>58</v>
      </c>
      <c r="X432" s="0" t="s">
        <v>58</v>
      </c>
      <c r="Y432" s="114" t="n">
        <v>1</v>
      </c>
      <c r="Z432" s="114" t="n">
        <v>0</v>
      </c>
      <c r="AA432" s="0" t="s">
        <v>2087</v>
      </c>
      <c r="AB432" s="114" t="s">
        <v>58</v>
      </c>
      <c r="AC432" s="114" t="s">
        <v>58</v>
      </c>
      <c r="AD432" s="114" t="s">
        <v>58</v>
      </c>
      <c r="AE432" s="114" t="s">
        <v>58</v>
      </c>
      <c r="AF432" s="114" t="s">
        <v>58</v>
      </c>
      <c r="AG432" s="114" t="s">
        <v>58</v>
      </c>
      <c r="AH432" s="0" t="s">
        <v>2088</v>
      </c>
      <c r="AI432" s="114" t="s">
        <v>58</v>
      </c>
      <c r="AJ432" s="114" t="s">
        <v>58</v>
      </c>
      <c r="AK432" s="114" t="s">
        <v>58</v>
      </c>
      <c r="AL432" s="0" t="s">
        <v>2087</v>
      </c>
      <c r="AM432" s="114" t="s">
        <v>58</v>
      </c>
      <c r="AN432" s="114" t="s">
        <v>58</v>
      </c>
      <c r="AO432" s="114" t="s">
        <v>58</v>
      </c>
    </row>
    <row r="433" customFormat="false" ht="14.4" hidden="false" customHeight="false" outlineLevel="0" collapsed="false">
      <c r="A433" s="0" t="n">
        <v>3131</v>
      </c>
      <c r="B433" s="0" t="s">
        <v>2089</v>
      </c>
      <c r="C433" s="0" t="s">
        <v>471</v>
      </c>
      <c r="D433" s="0" t="s">
        <v>1438</v>
      </c>
      <c r="E433" s="0" t="s">
        <v>1794</v>
      </c>
      <c r="F433" s="0" t="n">
        <v>8023</v>
      </c>
      <c r="G433" s="0" t="s">
        <v>142</v>
      </c>
      <c r="H433" s="0" t="n">
        <v>179</v>
      </c>
      <c r="I433" s="0" t="n">
        <v>446</v>
      </c>
      <c r="J433" s="0" t="n">
        <v>0</v>
      </c>
      <c r="K433" s="0" t="n">
        <v>33</v>
      </c>
      <c r="L433" s="0" t="n">
        <v>290</v>
      </c>
      <c r="M433" s="0" t="n">
        <v>0</v>
      </c>
      <c r="N433" s="0" t="n">
        <v>15</v>
      </c>
      <c r="O433" s="0" t="n">
        <v>97</v>
      </c>
      <c r="P433" s="0" t="n">
        <v>24</v>
      </c>
      <c r="Q433" s="114" t="n">
        <v>90</v>
      </c>
      <c r="R433" s="0" t="n">
        <v>100</v>
      </c>
      <c r="S433" s="114" t="n">
        <v>1.4</v>
      </c>
      <c r="T433" s="114" t="n">
        <v>2</v>
      </c>
      <c r="U433" s="114" t="s">
        <v>58</v>
      </c>
      <c r="V433" s="0" t="s">
        <v>58</v>
      </c>
      <c r="W433" s="0" t="s">
        <v>58</v>
      </c>
      <c r="X433" s="0" t="s">
        <v>58</v>
      </c>
      <c r="Y433" s="114" t="n">
        <v>1.15</v>
      </c>
      <c r="Z433" s="114" t="n">
        <v>0</v>
      </c>
      <c r="AA433" s="0" t="s">
        <v>2090</v>
      </c>
      <c r="AB433" s="114" t="s">
        <v>58</v>
      </c>
      <c r="AC433" s="114" t="s">
        <v>58</v>
      </c>
      <c r="AD433" s="114" t="s">
        <v>58</v>
      </c>
      <c r="AE433" s="114" t="s">
        <v>58</v>
      </c>
      <c r="AF433" s="114" t="s">
        <v>58</v>
      </c>
      <c r="AG433" s="114" t="s">
        <v>58</v>
      </c>
      <c r="AH433" s="0" t="s">
        <v>2091</v>
      </c>
      <c r="AI433" s="114" t="s">
        <v>2092</v>
      </c>
      <c r="AJ433" s="114" t="s">
        <v>58</v>
      </c>
      <c r="AK433" s="114" t="s">
        <v>58</v>
      </c>
      <c r="AL433" s="0" t="s">
        <v>2093</v>
      </c>
      <c r="AM433" s="114" t="s">
        <v>2094</v>
      </c>
      <c r="AN433" s="114" t="s">
        <v>58</v>
      </c>
      <c r="AO433" s="114" t="s">
        <v>58</v>
      </c>
    </row>
    <row r="434" customFormat="false" ht="14.4" hidden="false" customHeight="false" outlineLevel="0" collapsed="false">
      <c r="A434" s="0" t="n">
        <v>64</v>
      </c>
      <c r="B434" s="0" t="s">
        <v>2095</v>
      </c>
      <c r="C434" s="0" t="s">
        <v>437</v>
      </c>
      <c r="D434" s="0" t="s">
        <v>430</v>
      </c>
      <c r="E434" s="0" t="s">
        <v>1794</v>
      </c>
      <c r="F434" s="0" t="n">
        <v>8080</v>
      </c>
      <c r="G434" s="0" t="s">
        <v>142</v>
      </c>
      <c r="H434" s="0" t="n">
        <v>159</v>
      </c>
      <c r="I434" s="0" t="n">
        <v>421</v>
      </c>
      <c r="J434" s="0" t="n">
        <v>0</v>
      </c>
      <c r="K434" s="0" t="n">
        <v>33</v>
      </c>
      <c r="L434" s="0" t="n">
        <v>400</v>
      </c>
      <c r="M434" s="0" t="n">
        <v>0</v>
      </c>
      <c r="N434" s="0" t="n">
        <v>15</v>
      </c>
      <c r="O434" s="0" t="n">
        <v>0</v>
      </c>
      <c r="P434" s="0" t="n">
        <v>28</v>
      </c>
      <c r="Q434" s="114" t="n">
        <v>89</v>
      </c>
      <c r="R434" s="0" t="n">
        <v>70</v>
      </c>
      <c r="S434" s="114" t="n">
        <v>1.3</v>
      </c>
      <c r="T434" s="114" t="n">
        <v>2</v>
      </c>
      <c r="U434" s="114" t="s">
        <v>58</v>
      </c>
      <c r="V434" s="0" t="s">
        <v>58</v>
      </c>
      <c r="W434" s="0" t="s">
        <v>58</v>
      </c>
      <c r="X434" s="0" t="s">
        <v>58</v>
      </c>
      <c r="Y434" s="114" t="n">
        <v>1</v>
      </c>
      <c r="Z434" s="114" t="n">
        <v>0</v>
      </c>
      <c r="AA434" s="0" t="s">
        <v>2096</v>
      </c>
      <c r="AB434" s="0" t="s">
        <v>2097</v>
      </c>
      <c r="AC434" s="114" t="s">
        <v>58</v>
      </c>
      <c r="AD434" s="114" t="s">
        <v>58</v>
      </c>
      <c r="AE434" s="114" t="s">
        <v>58</v>
      </c>
      <c r="AF434" s="114" t="s">
        <v>58</v>
      </c>
      <c r="AG434" s="114" t="s">
        <v>58</v>
      </c>
      <c r="AH434" s="0" t="s">
        <v>2098</v>
      </c>
      <c r="AI434" s="0" t="s">
        <v>2099</v>
      </c>
      <c r="AJ434" s="114" t="s">
        <v>58</v>
      </c>
      <c r="AK434" s="114" t="s">
        <v>58</v>
      </c>
      <c r="AL434" s="0" t="s">
        <v>2096</v>
      </c>
      <c r="AM434" s="0" t="s">
        <v>2100</v>
      </c>
      <c r="AN434" s="114" t="s">
        <v>58</v>
      </c>
      <c r="AO434" s="114" t="s">
        <v>58</v>
      </c>
    </row>
    <row r="435" customFormat="false" ht="14.4" hidden="false" customHeight="false" outlineLevel="0" collapsed="false">
      <c r="A435" s="0" t="n">
        <v>62</v>
      </c>
      <c r="B435" s="0" t="s">
        <v>2101</v>
      </c>
      <c r="C435" s="0" t="s">
        <v>437</v>
      </c>
      <c r="D435" s="0" t="s">
        <v>438</v>
      </c>
      <c r="E435" s="0" t="s">
        <v>1794</v>
      </c>
      <c r="F435" s="0" t="n">
        <v>7456</v>
      </c>
      <c r="G435" s="0" t="s">
        <v>142</v>
      </c>
      <c r="H435" s="0" t="n">
        <v>149</v>
      </c>
      <c r="I435" s="0" t="n">
        <v>409</v>
      </c>
      <c r="J435" s="0" t="n">
        <v>0</v>
      </c>
      <c r="K435" s="0" t="n">
        <v>11</v>
      </c>
      <c r="L435" s="0" t="n">
        <v>216</v>
      </c>
      <c r="M435" s="0" t="n">
        <v>0</v>
      </c>
      <c r="N435" s="0" t="n">
        <v>14</v>
      </c>
      <c r="O435" s="0" t="n">
        <v>0</v>
      </c>
      <c r="P435" s="0" t="n">
        <v>21</v>
      </c>
      <c r="Q435" s="114" t="n">
        <v>61</v>
      </c>
      <c r="R435" s="0" t="n">
        <v>70</v>
      </c>
      <c r="S435" s="114" t="n">
        <v>1.3</v>
      </c>
      <c r="T435" s="114" t="n">
        <v>2</v>
      </c>
      <c r="U435" s="114" t="s">
        <v>58</v>
      </c>
      <c r="V435" s="0" t="s">
        <v>58</v>
      </c>
      <c r="W435" s="0" t="s">
        <v>58</v>
      </c>
      <c r="X435" s="0" t="s">
        <v>58</v>
      </c>
      <c r="Y435" s="114" t="n">
        <v>1</v>
      </c>
      <c r="Z435" s="114" t="n">
        <v>0</v>
      </c>
      <c r="AA435" s="0" t="s">
        <v>1824</v>
      </c>
      <c r="AB435" s="114" t="s">
        <v>58</v>
      </c>
      <c r="AC435" s="114" t="s">
        <v>58</v>
      </c>
      <c r="AD435" s="114" t="s">
        <v>58</v>
      </c>
      <c r="AE435" s="114" t="s">
        <v>58</v>
      </c>
      <c r="AF435" s="114" t="s">
        <v>58</v>
      </c>
      <c r="AG435" s="114" t="s">
        <v>58</v>
      </c>
      <c r="AH435" s="0" t="s">
        <v>1975</v>
      </c>
      <c r="AI435" s="114" t="s">
        <v>58</v>
      </c>
      <c r="AJ435" s="114" t="s">
        <v>58</v>
      </c>
      <c r="AK435" s="114" t="s">
        <v>58</v>
      </c>
      <c r="AL435" s="0" t="s">
        <v>1826</v>
      </c>
      <c r="AM435" s="114" t="s">
        <v>58</v>
      </c>
      <c r="AN435" s="114" t="s">
        <v>58</v>
      </c>
      <c r="AO435" s="114" t="s">
        <v>58</v>
      </c>
    </row>
    <row r="436" customFormat="false" ht="14.4" hidden="false" customHeight="false" outlineLevel="0" collapsed="false">
      <c r="A436" s="0" t="n">
        <v>209</v>
      </c>
      <c r="B436" s="0" t="s">
        <v>2102</v>
      </c>
      <c r="C436" s="0" t="s">
        <v>429</v>
      </c>
      <c r="D436" s="0" t="s">
        <v>472</v>
      </c>
      <c r="E436" s="0" t="s">
        <v>1794</v>
      </c>
      <c r="F436" s="0" t="n">
        <v>7307</v>
      </c>
      <c r="G436" s="0" t="s">
        <v>142</v>
      </c>
      <c r="H436" s="0" t="n">
        <v>142</v>
      </c>
      <c r="I436" s="0" t="n">
        <v>416</v>
      </c>
      <c r="J436" s="0" t="n">
        <v>0</v>
      </c>
      <c r="K436" s="0" t="n">
        <v>31</v>
      </c>
      <c r="L436" s="0" t="n">
        <v>222</v>
      </c>
      <c r="M436" s="0" t="n">
        <v>0</v>
      </c>
      <c r="N436" s="0" t="n">
        <v>13</v>
      </c>
      <c r="O436" s="0" t="n">
        <v>0</v>
      </c>
      <c r="P436" s="0" t="n">
        <v>23</v>
      </c>
      <c r="Q436" s="114" t="n">
        <v>14</v>
      </c>
      <c r="R436" s="0" t="n">
        <v>66</v>
      </c>
      <c r="S436" s="114" t="n">
        <v>1.45</v>
      </c>
      <c r="T436" s="114" t="n">
        <v>2</v>
      </c>
      <c r="U436" s="114" t="s">
        <v>58</v>
      </c>
      <c r="V436" s="0" t="s">
        <v>58</v>
      </c>
      <c r="W436" s="0" t="s">
        <v>58</v>
      </c>
      <c r="X436" s="0" t="s">
        <v>58</v>
      </c>
      <c r="Y436" s="114" t="n">
        <v>0.8</v>
      </c>
      <c r="Z436" s="114" t="n">
        <v>0</v>
      </c>
      <c r="AA436" s="114" t="s">
        <v>58</v>
      </c>
      <c r="AB436" s="114" t="s">
        <v>58</v>
      </c>
      <c r="AC436" s="114" t="s">
        <v>58</v>
      </c>
      <c r="AD436" s="114" t="s">
        <v>58</v>
      </c>
      <c r="AE436" s="114" t="s">
        <v>58</v>
      </c>
      <c r="AF436" s="114" t="s">
        <v>58</v>
      </c>
      <c r="AG436" s="114" t="s">
        <v>58</v>
      </c>
      <c r="AH436" s="114" t="s">
        <v>1480</v>
      </c>
      <c r="AI436" s="114" t="s">
        <v>58</v>
      </c>
      <c r="AJ436" s="114" t="s">
        <v>58</v>
      </c>
      <c r="AK436" s="114" t="s">
        <v>58</v>
      </c>
      <c r="AL436" s="114" t="s">
        <v>1482</v>
      </c>
      <c r="AM436" s="114" t="s">
        <v>58</v>
      </c>
      <c r="AN436" s="114" t="s">
        <v>58</v>
      </c>
      <c r="AO436" s="114" t="s">
        <v>58</v>
      </c>
    </row>
    <row r="437" customFormat="false" ht="13.8" hidden="false" customHeight="false" outlineLevel="0" collapsed="false">
      <c r="B437" s="0" t="s">
        <v>2103</v>
      </c>
      <c r="C437" s="0" t="s">
        <v>2104</v>
      </c>
      <c r="D437" s="0" t="s">
        <v>430</v>
      </c>
      <c r="E437" s="0" t="s">
        <v>114</v>
      </c>
      <c r="F437" s="0" t="n">
        <v>7362</v>
      </c>
      <c r="G437" s="0" t="s">
        <v>142</v>
      </c>
      <c r="H437" s="0" t="n">
        <v>149</v>
      </c>
      <c r="I437" s="0" t="n">
        <v>384</v>
      </c>
      <c r="J437" s="0" t="n">
        <v>179</v>
      </c>
      <c r="K437" s="0" t="n">
        <v>33</v>
      </c>
      <c r="L437" s="0" t="n">
        <v>264</v>
      </c>
      <c r="M437" s="0" t="n">
        <v>0</v>
      </c>
      <c r="N437" s="0" t="n">
        <v>14</v>
      </c>
      <c r="O437" s="0" t="n">
        <v>0</v>
      </c>
      <c r="P437" s="0" t="n">
        <v>26</v>
      </c>
      <c r="Q437" s="114" t="n">
        <v>83</v>
      </c>
      <c r="R437" s="0" t="n">
        <v>67</v>
      </c>
      <c r="S437" s="114" t="n">
        <v>1.4</v>
      </c>
      <c r="T437" s="114" t="n">
        <v>1.7</v>
      </c>
      <c r="U437" s="114" t="s">
        <v>58</v>
      </c>
      <c r="V437" s="0" t="s">
        <v>58</v>
      </c>
      <c r="W437" s="0" t="s">
        <v>58</v>
      </c>
      <c r="X437" s="0" t="s">
        <v>58</v>
      </c>
      <c r="Y437" s="114" t="n">
        <v>0.7</v>
      </c>
      <c r="Z437" s="114" t="n">
        <v>0</v>
      </c>
      <c r="AA437" s="114" t="s">
        <v>2105</v>
      </c>
      <c r="AB437" s="114"/>
      <c r="AC437" s="114"/>
      <c r="AD437" s="114"/>
      <c r="AE437" s="114"/>
      <c r="AF437" s="114"/>
      <c r="AG437" s="114"/>
      <c r="AH437" s="114"/>
      <c r="AI437" s="114"/>
      <c r="AJ437" s="114"/>
      <c r="AK437" s="114"/>
      <c r="AL437" s="114"/>
      <c r="AM437" s="114"/>
      <c r="AN437" s="114"/>
      <c r="AO437" s="114"/>
    </row>
    <row r="438" customFormat="false" ht="13.8" hidden="false" customHeight="false" outlineLevel="0" collapsed="false">
      <c r="B438" s="0" t="s">
        <v>2106</v>
      </c>
      <c r="C438" s="0" t="s">
        <v>2104</v>
      </c>
      <c r="D438" s="0" t="s">
        <v>430</v>
      </c>
      <c r="E438" s="0" t="s">
        <v>114</v>
      </c>
      <c r="F438" s="0" t="n">
        <v>7622</v>
      </c>
      <c r="G438" s="0" t="s">
        <v>142</v>
      </c>
      <c r="H438" s="0" t="n">
        <v>164</v>
      </c>
      <c r="I438" s="0" t="n">
        <v>390</v>
      </c>
      <c r="J438" s="0" t="n">
        <v>181</v>
      </c>
      <c r="K438" s="0" t="n">
        <v>31</v>
      </c>
      <c r="L438" s="0" t="n">
        <v>268</v>
      </c>
      <c r="M438" s="0" t="n">
        <v>0</v>
      </c>
      <c r="N438" s="0" t="n">
        <v>14</v>
      </c>
      <c r="O438" s="0" t="n">
        <v>0</v>
      </c>
      <c r="P438" s="0" t="n">
        <v>26</v>
      </c>
      <c r="Q438" s="114" t="n">
        <v>30</v>
      </c>
      <c r="R438" s="0" t="n">
        <v>68</v>
      </c>
      <c r="S438" s="114" t="n">
        <v>1.25</v>
      </c>
      <c r="T438" s="114" t="n">
        <v>1.7</v>
      </c>
      <c r="U438" s="114" t="s">
        <v>58</v>
      </c>
      <c r="V438" s="0" t="s">
        <v>58</v>
      </c>
      <c r="W438" s="0" t="s">
        <v>58</v>
      </c>
      <c r="X438" s="0" t="s">
        <v>58</v>
      </c>
      <c r="Y438" s="114" t="n">
        <v>0.9</v>
      </c>
      <c r="Z438" s="114" t="n">
        <v>0</v>
      </c>
      <c r="AA438" s="114" t="s">
        <v>2107</v>
      </c>
      <c r="AB438" s="114" t="s">
        <v>2108</v>
      </c>
      <c r="AC438" s="114" t="s">
        <v>2109</v>
      </c>
      <c r="AD438" s="114" t="s">
        <v>2110</v>
      </c>
      <c r="AE438" s="114"/>
      <c r="AF438" s="114"/>
      <c r="AG438" s="114"/>
      <c r="AH438" s="114"/>
      <c r="AI438" s="114"/>
      <c r="AJ438" s="114"/>
      <c r="AK438" s="114"/>
      <c r="AL438" s="114"/>
      <c r="AM438" s="114"/>
      <c r="AN438" s="114"/>
      <c r="AO438" s="114"/>
    </row>
    <row r="439" customFormat="false" ht="13.8" hidden="false" customHeight="false" outlineLevel="0" collapsed="false">
      <c r="B439" s="0" t="s">
        <v>2111</v>
      </c>
      <c r="C439" s="0" t="s">
        <v>2104</v>
      </c>
      <c r="D439" s="0" t="s">
        <v>443</v>
      </c>
      <c r="E439" s="0" t="s">
        <v>114</v>
      </c>
      <c r="F439" s="0" t="n">
        <v>6258</v>
      </c>
      <c r="G439" s="0" t="s">
        <v>142</v>
      </c>
      <c r="H439" s="0" t="n">
        <v>139</v>
      </c>
      <c r="I439" s="0" t="n">
        <v>393</v>
      </c>
      <c r="J439" s="0" t="n">
        <v>115</v>
      </c>
      <c r="K439" s="0" t="n">
        <v>23</v>
      </c>
      <c r="L439" s="0" t="n">
        <v>176</v>
      </c>
      <c r="M439" s="0" t="n">
        <v>0</v>
      </c>
      <c r="N439" s="0" t="n">
        <v>14</v>
      </c>
      <c r="O439" s="0" t="n">
        <v>0</v>
      </c>
      <c r="P439" s="0" t="n">
        <v>20</v>
      </c>
      <c r="Q439" s="114" t="n">
        <v>60</v>
      </c>
      <c r="R439" s="0" t="n">
        <v>59</v>
      </c>
      <c r="S439" s="114" t="n">
        <v>1.25</v>
      </c>
      <c r="T439" s="114" t="n">
        <v>2</v>
      </c>
      <c r="U439" s="114" t="s">
        <v>58</v>
      </c>
      <c r="V439" s="0" t="s">
        <v>58</v>
      </c>
      <c r="W439" s="0" t="s">
        <v>58</v>
      </c>
      <c r="X439" s="0" t="s">
        <v>58</v>
      </c>
      <c r="Y439" s="114" t="n">
        <v>0.7</v>
      </c>
      <c r="Z439" s="114" t="n">
        <v>0</v>
      </c>
      <c r="AA439" s="114" t="s">
        <v>2112</v>
      </c>
      <c r="AB439" s="114" t="s">
        <v>2113</v>
      </c>
      <c r="AC439" s="114" t="s">
        <v>2114</v>
      </c>
      <c r="AD439" s="114"/>
      <c r="AE439" s="114"/>
      <c r="AF439" s="114"/>
      <c r="AG439" s="114"/>
      <c r="AH439" s="114"/>
      <c r="AI439" s="114"/>
      <c r="AJ439" s="114"/>
      <c r="AK439" s="114"/>
      <c r="AL439" s="114"/>
      <c r="AM439" s="114"/>
      <c r="AN439" s="114"/>
      <c r="AO439" s="114"/>
    </row>
    <row r="440" customFormat="false" ht="13.8" hidden="false" customHeight="false" outlineLevel="0" collapsed="false">
      <c r="B440" s="0" t="s">
        <v>2115</v>
      </c>
      <c r="C440" s="0" t="s">
        <v>571</v>
      </c>
      <c r="D440" s="0" t="s">
        <v>430</v>
      </c>
      <c r="E440" s="0" t="s">
        <v>114</v>
      </c>
      <c r="F440" s="0" t="n">
        <v>8491</v>
      </c>
      <c r="G440" s="0" t="s">
        <v>142</v>
      </c>
      <c r="H440" s="0" t="n">
        <v>159</v>
      </c>
      <c r="I440" s="0" t="n">
        <v>429</v>
      </c>
      <c r="J440" s="0" t="n">
        <v>0</v>
      </c>
      <c r="K440" s="0" t="n">
        <v>35</v>
      </c>
      <c r="L440" s="0" t="n">
        <v>243</v>
      </c>
      <c r="M440" s="0" t="n">
        <v>0</v>
      </c>
      <c r="N440" s="0" t="n">
        <v>15</v>
      </c>
      <c r="O440" s="0" t="n">
        <v>0</v>
      </c>
      <c r="P440" s="0" t="n">
        <v>30</v>
      </c>
      <c r="Q440" s="114" t="n">
        <v>80</v>
      </c>
      <c r="R440" s="0" t="n">
        <v>58</v>
      </c>
      <c r="S440" s="114" t="n">
        <v>1.3</v>
      </c>
      <c r="T440" s="114" t="n">
        <v>2</v>
      </c>
      <c r="U440" s="114" t="s">
        <v>58</v>
      </c>
      <c r="V440" s="0" t="s">
        <v>58</v>
      </c>
      <c r="W440" s="0" t="s">
        <v>58</v>
      </c>
      <c r="X440" s="0" t="s">
        <v>58</v>
      </c>
      <c r="Y440" s="114" t="n">
        <v>1</v>
      </c>
      <c r="Z440" s="114" t="n">
        <v>0</v>
      </c>
      <c r="AA440" s="114" t="s">
        <v>2116</v>
      </c>
      <c r="AB440" s="114" t="s">
        <v>2117</v>
      </c>
      <c r="AC440" s="114"/>
      <c r="AD440" s="114"/>
      <c r="AE440" s="114"/>
      <c r="AF440" s="114"/>
      <c r="AG440" s="114"/>
      <c r="AH440" s="114"/>
      <c r="AI440" s="114"/>
      <c r="AJ440" s="114"/>
      <c r="AK440" s="114"/>
      <c r="AL440" s="114"/>
      <c r="AM440" s="114"/>
      <c r="AN440" s="114"/>
      <c r="AO440" s="114"/>
    </row>
    <row r="441" customFormat="false" ht="14.4" hidden="false" customHeight="false" outlineLevel="0" collapsed="false">
      <c r="A441" s="0" t="n">
        <v>3209</v>
      </c>
      <c r="B441" s="0" t="s">
        <v>2118</v>
      </c>
      <c r="C441" s="0" t="s">
        <v>429</v>
      </c>
      <c r="D441" s="0" t="s">
        <v>438</v>
      </c>
      <c r="E441" s="0" t="s">
        <v>1857</v>
      </c>
      <c r="F441" s="0" t="n">
        <v>7657</v>
      </c>
      <c r="G441" s="0" t="s">
        <v>142</v>
      </c>
      <c r="H441" s="0" t="n">
        <v>134</v>
      </c>
      <c r="I441" s="0" t="n">
        <v>390</v>
      </c>
      <c r="J441" s="0" t="n">
        <v>0</v>
      </c>
      <c r="K441" s="0" t="n">
        <v>31</v>
      </c>
      <c r="L441" s="0" t="n">
        <v>303</v>
      </c>
      <c r="M441" s="0" t="n">
        <v>202</v>
      </c>
      <c r="N441" s="0" t="n">
        <v>13</v>
      </c>
      <c r="O441" s="0" t="n">
        <v>0</v>
      </c>
      <c r="P441" s="0" t="n">
        <v>23</v>
      </c>
      <c r="Q441" s="114" t="n">
        <v>14</v>
      </c>
      <c r="R441" s="0" t="n">
        <v>77</v>
      </c>
      <c r="S441" s="114" t="n">
        <v>1.65</v>
      </c>
      <c r="T441" s="114" t="n">
        <v>2</v>
      </c>
      <c r="U441" s="114" t="s">
        <v>58</v>
      </c>
      <c r="V441" s="0" t="s">
        <v>1858</v>
      </c>
      <c r="W441" s="0" t="s">
        <v>58</v>
      </c>
      <c r="X441" s="0" t="n">
        <v>3</v>
      </c>
      <c r="Y441" s="114" t="n">
        <v>0.85</v>
      </c>
      <c r="Z441" s="114" t="n">
        <v>0</v>
      </c>
      <c r="AA441" s="0" t="s">
        <v>1859</v>
      </c>
      <c r="AB441" s="114" t="s">
        <v>58</v>
      </c>
      <c r="AC441" s="114" t="s">
        <v>58</v>
      </c>
      <c r="AD441" s="114" t="s">
        <v>58</v>
      </c>
      <c r="AE441" s="114" t="s">
        <v>58</v>
      </c>
      <c r="AF441" s="114" t="s">
        <v>58</v>
      </c>
      <c r="AG441" s="114" t="s">
        <v>58</v>
      </c>
      <c r="AH441" s="0" t="s">
        <v>1480</v>
      </c>
      <c r="AI441" s="114" t="s">
        <v>1860</v>
      </c>
      <c r="AJ441" s="114" t="s">
        <v>58</v>
      </c>
      <c r="AK441" s="114" t="s">
        <v>58</v>
      </c>
      <c r="AL441" s="0" t="s">
        <v>1482</v>
      </c>
      <c r="AM441" s="114" t="s">
        <v>1859</v>
      </c>
      <c r="AN441" s="114" t="s">
        <v>58</v>
      </c>
      <c r="AO441" s="114" t="s">
        <v>58</v>
      </c>
    </row>
    <row r="442" customFormat="false" ht="13.8" hidden="false" customHeight="false" outlineLevel="0" collapsed="false">
      <c r="R442" s="0"/>
      <c r="S442" s="114"/>
      <c r="T442" s="114"/>
      <c r="U442" s="114"/>
      <c r="Y442" s="114"/>
      <c r="Z442" s="114"/>
      <c r="AB442" s="114"/>
      <c r="AC442" s="114"/>
      <c r="AD442" s="114"/>
      <c r="AE442" s="114"/>
      <c r="AF442" s="114"/>
      <c r="AG442" s="114"/>
      <c r="AI442" s="114"/>
      <c r="AJ442" s="114"/>
      <c r="AK442" s="114"/>
      <c r="AM442" s="114"/>
      <c r="AN442" s="114"/>
      <c r="AO442" s="114"/>
    </row>
    <row r="443" customFormat="false" ht="14.4" hidden="false" customHeight="false" outlineLevel="0" collapsed="false">
      <c r="Q443" s="0"/>
      <c r="R443" s="0"/>
      <c r="S443" s="114"/>
      <c r="T443" s="114"/>
      <c r="U443" s="114"/>
      <c r="Y443" s="114"/>
      <c r="Z443" s="114"/>
      <c r="AE443" s="114"/>
      <c r="AF443" s="114"/>
      <c r="AG443" s="114"/>
      <c r="AI443" s="114"/>
      <c r="AJ443" s="114"/>
      <c r="AK443" s="114"/>
      <c r="AM443" s="114"/>
      <c r="AN443" s="114"/>
      <c r="AO443" s="114"/>
    </row>
    <row r="444" customFormat="false" ht="14.4" hidden="false" customHeight="false" outlineLevel="0" collapsed="false">
      <c r="A444" s="144" t="s">
        <v>415</v>
      </c>
      <c r="B444" s="144" t="s">
        <v>97</v>
      </c>
      <c r="C444" s="144" t="s">
        <v>139</v>
      </c>
      <c r="D444" s="144" t="s">
        <v>416</v>
      </c>
      <c r="E444" s="144" t="s">
        <v>96</v>
      </c>
      <c r="F444" s="144" t="s">
        <v>45</v>
      </c>
      <c r="G444" s="144" t="s">
        <v>417</v>
      </c>
      <c r="H444" s="144" t="s">
        <v>100</v>
      </c>
      <c r="I444" s="144" t="s">
        <v>98</v>
      </c>
      <c r="J444" s="144" t="s">
        <v>99</v>
      </c>
      <c r="K444" s="144" t="s">
        <v>46</v>
      </c>
      <c r="L444" s="144" t="s">
        <v>50</v>
      </c>
      <c r="M444" s="144" t="s">
        <v>262</v>
      </c>
      <c r="N444" s="144" t="s">
        <v>418</v>
      </c>
      <c r="O444" s="144" t="s">
        <v>105</v>
      </c>
      <c r="P444" s="144" t="s">
        <v>419</v>
      </c>
      <c r="Q444" s="145" t="s">
        <v>420</v>
      </c>
      <c r="R444" s="145" t="s">
        <v>421</v>
      </c>
      <c r="S444" s="145" t="s">
        <v>151</v>
      </c>
      <c r="T444" s="145" t="s">
        <v>155</v>
      </c>
      <c r="U444" s="145" t="s">
        <v>346</v>
      </c>
      <c r="V444" s="144" t="s">
        <v>2119</v>
      </c>
      <c r="W444" s="144" t="s">
        <v>1779</v>
      </c>
      <c r="X444" s="144" t="s">
        <v>2120</v>
      </c>
      <c r="Y444" s="144" t="s">
        <v>1776</v>
      </c>
      <c r="Z444" s="144" t="s">
        <v>1777</v>
      </c>
      <c r="AA444" s="144" t="s">
        <v>1778</v>
      </c>
      <c r="AB444" s="150" t="s">
        <v>441</v>
      </c>
      <c r="AC444" s="150" t="s">
        <v>452</v>
      </c>
      <c r="AD444" s="150" t="s">
        <v>453</v>
      </c>
      <c r="AE444" s="150" t="s">
        <v>454</v>
      </c>
      <c r="AF444" s="150" t="s">
        <v>1780</v>
      </c>
      <c r="AG444" s="150" t="s">
        <v>1781</v>
      </c>
      <c r="AH444" s="150" t="s">
        <v>1782</v>
      </c>
      <c r="AI444" s="150" t="s">
        <v>2121</v>
      </c>
      <c r="AJ444" s="150" t="s">
        <v>422</v>
      </c>
      <c r="AK444" s="150" t="s">
        <v>423</v>
      </c>
      <c r="AL444" s="150" t="s">
        <v>424</v>
      </c>
      <c r="AM444" s="150" t="s">
        <v>455</v>
      </c>
      <c r="AN444" s="150" t="s">
        <v>425</v>
      </c>
      <c r="AO444" s="150" t="s">
        <v>426</v>
      </c>
      <c r="AP444" s="150" t="s">
        <v>427</v>
      </c>
      <c r="AQ444" s="150" t="s">
        <v>456</v>
      </c>
    </row>
    <row r="445" customFormat="false" ht="15" hidden="false" customHeight="true" outlineLevel="0" collapsed="false">
      <c r="A445" s="0" t="n">
        <v>224</v>
      </c>
      <c r="B445" s="0" t="s">
        <v>2122</v>
      </c>
      <c r="C445" s="0" t="s">
        <v>429</v>
      </c>
      <c r="D445" s="0" t="s">
        <v>430</v>
      </c>
      <c r="E445" s="0" t="s">
        <v>2123</v>
      </c>
      <c r="F445" s="0" t="n">
        <v>6588</v>
      </c>
      <c r="G445" s="0" t="s">
        <v>140</v>
      </c>
      <c r="H445" s="0" t="n">
        <v>131</v>
      </c>
      <c r="I445" s="0" t="n">
        <v>0</v>
      </c>
      <c r="J445" s="0" t="n">
        <v>0</v>
      </c>
      <c r="K445" s="0" t="n">
        <v>54</v>
      </c>
      <c r="L445" s="0" t="n">
        <v>323</v>
      </c>
      <c r="M445" s="0" t="n">
        <v>409</v>
      </c>
      <c r="N445" s="0" t="n">
        <v>13</v>
      </c>
      <c r="O445" s="0" t="n">
        <v>0</v>
      </c>
      <c r="P445" s="0" t="n">
        <v>31</v>
      </c>
      <c r="Q445" s="114" t="n">
        <v>42</v>
      </c>
      <c r="R445" s="114" t="n">
        <v>90</v>
      </c>
      <c r="S445" s="114" t="n">
        <v>1.25</v>
      </c>
      <c r="T445" s="114" t="n">
        <v>1.25</v>
      </c>
      <c r="U445" s="114" t="n">
        <v>1.25</v>
      </c>
      <c r="V445" s="0" t="n">
        <v>3</v>
      </c>
      <c r="W445" s="0" t="n">
        <v>2</v>
      </c>
      <c r="X445" s="0" t="n">
        <v>3</v>
      </c>
      <c r="Y445" s="0" t="s">
        <v>2124</v>
      </c>
      <c r="Z445" s="0" t="s">
        <v>1858</v>
      </c>
      <c r="AA445" s="0" t="s">
        <v>2125</v>
      </c>
      <c r="AB445" s="0" t="s">
        <v>58</v>
      </c>
      <c r="AC445" s="0" t="s">
        <v>58</v>
      </c>
      <c r="AD445" s="0" t="s">
        <v>58</v>
      </c>
      <c r="AE445" s="0" t="s">
        <v>58</v>
      </c>
      <c r="AF445" s="0" t="s">
        <v>58</v>
      </c>
      <c r="AG445" s="0" t="s">
        <v>58</v>
      </c>
      <c r="AH445" s="0" t="s">
        <v>58</v>
      </c>
      <c r="AI445" s="0" t="s">
        <v>58</v>
      </c>
      <c r="AJ445" s="0" t="s">
        <v>2126</v>
      </c>
      <c r="AK445" s="0" t="s">
        <v>2127</v>
      </c>
      <c r="AL445" s="0" t="s">
        <v>58</v>
      </c>
      <c r="AM445" s="0" t="s">
        <v>58</v>
      </c>
      <c r="AN445" s="0" t="s">
        <v>2128</v>
      </c>
      <c r="AO445" s="0" t="s">
        <v>2129</v>
      </c>
      <c r="AP445" s="0" t="s">
        <v>58</v>
      </c>
      <c r="AQ445" s="0" t="s">
        <v>58</v>
      </c>
    </row>
    <row r="446" customFormat="false" ht="15" hidden="false" customHeight="true" outlineLevel="0" collapsed="false">
      <c r="A446" s="0" t="n">
        <v>419</v>
      </c>
      <c r="B446" s="0" t="s">
        <v>2130</v>
      </c>
      <c r="C446" s="0" t="s">
        <v>429</v>
      </c>
      <c r="D446" s="0" t="s">
        <v>430</v>
      </c>
      <c r="E446" s="0" t="s">
        <v>2123</v>
      </c>
      <c r="F446" s="0" t="n">
        <v>6541</v>
      </c>
      <c r="G446" s="0" t="s">
        <v>140</v>
      </c>
      <c r="H446" s="0" t="n">
        <v>131</v>
      </c>
      <c r="I446" s="0" t="n">
        <v>0</v>
      </c>
      <c r="J446" s="0" t="n">
        <v>0</v>
      </c>
      <c r="K446" s="0" t="n">
        <v>54</v>
      </c>
      <c r="L446" s="0" t="n">
        <v>323</v>
      </c>
      <c r="M446" s="0" t="n">
        <v>408</v>
      </c>
      <c r="N446" s="0" t="n">
        <v>13</v>
      </c>
      <c r="O446" s="0" t="n">
        <v>0</v>
      </c>
      <c r="P446" s="0" t="n">
        <v>31</v>
      </c>
      <c r="Q446" s="0" t="n">
        <v>42</v>
      </c>
      <c r="R446" s="0" t="n">
        <v>90</v>
      </c>
      <c r="S446" s="114" t="n">
        <v>1.25</v>
      </c>
      <c r="T446" s="114" t="n">
        <v>1.25</v>
      </c>
      <c r="U446" s="114" t="n">
        <v>1.25</v>
      </c>
      <c r="V446" s="0" t="n">
        <v>3</v>
      </c>
      <c r="W446" s="0" t="n">
        <v>2</v>
      </c>
      <c r="X446" s="0" t="n">
        <v>3</v>
      </c>
      <c r="Y446" s="0" t="s">
        <v>2124</v>
      </c>
      <c r="Z446" s="0" t="s">
        <v>1858</v>
      </c>
      <c r="AA446" s="0" t="s">
        <v>2125</v>
      </c>
      <c r="AB446" s="0" t="s">
        <v>2131</v>
      </c>
      <c r="AC446" s="0" t="s">
        <v>2132</v>
      </c>
      <c r="AD446" s="0" t="s">
        <v>2133</v>
      </c>
      <c r="AE446" s="0" t="s">
        <v>58</v>
      </c>
      <c r="AF446" s="0" t="s">
        <v>58</v>
      </c>
      <c r="AG446" s="0" t="s">
        <v>58</v>
      </c>
      <c r="AH446" s="0" t="s">
        <v>58</v>
      </c>
      <c r="AI446" s="0" t="s">
        <v>58</v>
      </c>
      <c r="AJ446" s="0" t="s">
        <v>2134</v>
      </c>
      <c r="AK446" s="0" t="s">
        <v>2135</v>
      </c>
      <c r="AL446" s="0" t="s">
        <v>58</v>
      </c>
      <c r="AM446" s="0" t="s">
        <v>58</v>
      </c>
      <c r="AN446" s="0" t="s">
        <v>2136</v>
      </c>
      <c r="AO446" s="0" t="s">
        <v>2137</v>
      </c>
      <c r="AP446" s="0" t="s">
        <v>58</v>
      </c>
      <c r="AQ446" s="0" t="s">
        <v>58</v>
      </c>
    </row>
    <row r="447" customFormat="false" ht="14.4" hidden="false" customHeight="false" outlineLevel="0" collapsed="false">
      <c r="A447" s="0" t="s">
        <v>2138</v>
      </c>
      <c r="B447" s="0" t="s">
        <v>2139</v>
      </c>
      <c r="C447" s="0" t="s">
        <v>2140</v>
      </c>
      <c r="D447" s="0" t="s">
        <v>430</v>
      </c>
      <c r="E447" s="0" t="s">
        <v>2123</v>
      </c>
      <c r="F447" s="0" t="n">
        <v>6626</v>
      </c>
      <c r="G447" s="0" t="s">
        <v>140</v>
      </c>
      <c r="H447" s="0" t="n">
        <v>120</v>
      </c>
      <c r="I447" s="0" t="n">
        <v>0</v>
      </c>
      <c r="J447" s="0" t="n">
        <v>0</v>
      </c>
      <c r="K447" s="0" t="n">
        <v>37</v>
      </c>
      <c r="L447" s="0" t="n">
        <v>323</v>
      </c>
      <c r="M447" s="0" t="n">
        <v>410</v>
      </c>
      <c r="N447" s="0" t="n">
        <v>13</v>
      </c>
      <c r="O447" s="0" t="n">
        <v>0</v>
      </c>
      <c r="P447" s="0" t="n">
        <v>32</v>
      </c>
      <c r="Q447" s="0" t="n">
        <v>66</v>
      </c>
      <c r="R447" s="0" t="n">
        <v>86</v>
      </c>
      <c r="S447" s="114" t="n">
        <v>1.1</v>
      </c>
      <c r="T447" s="114" t="n">
        <v>1.35</v>
      </c>
      <c r="U447" s="114" t="n">
        <v>1.35</v>
      </c>
      <c r="V447" s="0" t="n">
        <v>2</v>
      </c>
      <c r="W447" s="0" t="n">
        <v>3</v>
      </c>
      <c r="X447" s="0" t="n">
        <v>3</v>
      </c>
      <c r="Y447" s="0" t="s">
        <v>2124</v>
      </c>
      <c r="Z447" s="0" t="s">
        <v>1858</v>
      </c>
      <c r="AA447" s="0" t="s">
        <v>2125</v>
      </c>
      <c r="AB447" s="0" t="s">
        <v>2141</v>
      </c>
      <c r="AC447" s="0" t="s">
        <v>2142</v>
      </c>
      <c r="AD447" s="0" t="s">
        <v>58</v>
      </c>
      <c r="AE447" s="0" t="s">
        <v>58</v>
      </c>
      <c r="AF447" s="0" t="s">
        <v>58</v>
      </c>
      <c r="AG447" s="0" t="s">
        <v>58</v>
      </c>
      <c r="AH447" s="0" t="s">
        <v>58</v>
      </c>
      <c r="AI447" s="0" t="s">
        <v>58</v>
      </c>
      <c r="AJ447" s="0" t="s">
        <v>2143</v>
      </c>
      <c r="AK447" s="0" t="s">
        <v>2144</v>
      </c>
      <c r="AL447" s="0" t="s">
        <v>58</v>
      </c>
      <c r="AM447" s="0" t="s">
        <v>58</v>
      </c>
      <c r="AN447" s="0" t="s">
        <v>2145</v>
      </c>
      <c r="AO447" s="0" t="s">
        <v>2146</v>
      </c>
      <c r="AP447" s="0" t="s">
        <v>58</v>
      </c>
      <c r="AQ447" s="0" t="s">
        <v>58</v>
      </c>
    </row>
    <row r="448" customFormat="false" ht="14.4" hidden="false" customHeight="false" outlineLevel="0" collapsed="false">
      <c r="A448" s="0" t="n">
        <v>144</v>
      </c>
      <c r="B448" s="0" t="s">
        <v>2147</v>
      </c>
      <c r="C448" s="0" t="s">
        <v>471</v>
      </c>
      <c r="D448" s="0" t="s">
        <v>438</v>
      </c>
      <c r="E448" s="0" t="s">
        <v>2123</v>
      </c>
      <c r="F448" s="0" t="n">
        <v>6107</v>
      </c>
      <c r="G448" s="0" t="s">
        <v>140</v>
      </c>
      <c r="H448" s="0" t="n">
        <v>117</v>
      </c>
      <c r="I448" s="0" t="n">
        <v>0</v>
      </c>
      <c r="J448" s="0" t="n">
        <v>0</v>
      </c>
      <c r="K448" s="0" t="n">
        <v>53</v>
      </c>
      <c r="L448" s="0" t="n">
        <v>307</v>
      </c>
      <c r="M448" s="0" t="n">
        <v>400</v>
      </c>
      <c r="N448" s="0" t="n">
        <v>12</v>
      </c>
      <c r="O448" s="0" t="n">
        <v>0</v>
      </c>
      <c r="P448" s="0" t="n">
        <v>31</v>
      </c>
      <c r="Q448" s="114" t="n">
        <v>87</v>
      </c>
      <c r="R448" s="114" t="n">
        <v>102</v>
      </c>
      <c r="S448" s="114" t="n">
        <v>1.4</v>
      </c>
      <c r="T448" s="114" t="n">
        <v>1.4</v>
      </c>
      <c r="U448" s="114" t="n">
        <v>0.8</v>
      </c>
      <c r="V448" s="0" t="n">
        <v>3</v>
      </c>
      <c r="W448" s="0" t="n">
        <v>3</v>
      </c>
      <c r="X448" s="0" t="n">
        <v>2</v>
      </c>
      <c r="Y448" s="0" t="s">
        <v>2125</v>
      </c>
      <c r="Z448" s="0" t="s">
        <v>2125</v>
      </c>
      <c r="AA448" s="0" t="s">
        <v>1858</v>
      </c>
      <c r="AB448" s="0" t="s">
        <v>2148</v>
      </c>
      <c r="AC448" s="0" t="s">
        <v>58</v>
      </c>
      <c r="AD448" s="0" t="s">
        <v>58</v>
      </c>
      <c r="AE448" s="0" t="s">
        <v>58</v>
      </c>
      <c r="AF448" s="0" t="s">
        <v>58</v>
      </c>
      <c r="AG448" s="0" t="s">
        <v>58</v>
      </c>
      <c r="AH448" s="0" t="s">
        <v>58</v>
      </c>
      <c r="AI448" s="0" t="s">
        <v>58</v>
      </c>
      <c r="AJ448" s="0" t="s">
        <v>2149</v>
      </c>
      <c r="AK448" s="0" t="s">
        <v>2150</v>
      </c>
      <c r="AL448" s="0" t="s">
        <v>58</v>
      </c>
      <c r="AM448" s="0" t="s">
        <v>58</v>
      </c>
      <c r="AN448" s="0" t="s">
        <v>2148</v>
      </c>
      <c r="AO448" s="0" t="s">
        <v>2151</v>
      </c>
      <c r="AP448" s="0" t="s">
        <v>58</v>
      </c>
      <c r="AQ448" s="0" t="s">
        <v>58</v>
      </c>
    </row>
    <row r="449" customFormat="false" ht="14.4" hidden="false" customHeight="false" outlineLevel="0" collapsed="false">
      <c r="B449" s="0" t="s">
        <v>2152</v>
      </c>
      <c r="C449" s="0" t="s">
        <v>1290</v>
      </c>
      <c r="D449" s="0" t="s">
        <v>438</v>
      </c>
      <c r="E449" s="0" t="s">
        <v>2123</v>
      </c>
      <c r="F449" s="0" t="n">
        <v>6261</v>
      </c>
      <c r="G449" s="0" t="s">
        <v>140</v>
      </c>
      <c r="H449" s="0" t="n">
        <v>110</v>
      </c>
      <c r="I449" s="0" t="n">
        <v>0</v>
      </c>
      <c r="J449" s="0" t="n">
        <v>0</v>
      </c>
      <c r="K449" s="0" t="n">
        <v>36</v>
      </c>
      <c r="L449" s="0" t="n">
        <v>307</v>
      </c>
      <c r="M449" s="0" t="n">
        <v>376</v>
      </c>
      <c r="N449" s="0" t="n">
        <v>12</v>
      </c>
      <c r="O449" s="0" t="n">
        <v>0</v>
      </c>
      <c r="P449" s="0" t="n">
        <v>21</v>
      </c>
      <c r="Q449" s="0" t="n">
        <v>42</v>
      </c>
      <c r="R449" s="0" t="n">
        <v>85</v>
      </c>
      <c r="S449" s="114" t="n">
        <v>1.35</v>
      </c>
      <c r="T449" s="114" t="n">
        <v>1.4</v>
      </c>
      <c r="U449" s="114" t="n">
        <v>0.55</v>
      </c>
      <c r="V449" s="0" t="n">
        <v>3</v>
      </c>
      <c r="W449" s="0" t="n">
        <v>3</v>
      </c>
      <c r="X449" s="0" t="n">
        <v>2</v>
      </c>
      <c r="Y449" s="0" t="s">
        <v>2124</v>
      </c>
      <c r="Z449" s="0" t="s">
        <v>2125</v>
      </c>
      <c r="AA449" s="0" t="s">
        <v>1858</v>
      </c>
      <c r="AB449" s="0" t="s">
        <v>2153</v>
      </c>
      <c r="AC449" s="0" t="s">
        <v>2154</v>
      </c>
      <c r="AD449" s="0" t="s">
        <v>2119</v>
      </c>
      <c r="AE449" s="0" t="s">
        <v>1779</v>
      </c>
    </row>
    <row r="450" customFormat="false" ht="14.4" hidden="false" customHeight="false" outlineLevel="0" collapsed="false">
      <c r="A450" s="0" t="n">
        <v>380</v>
      </c>
      <c r="B450" s="0" t="s">
        <v>2155</v>
      </c>
      <c r="C450" s="0" t="s">
        <v>437</v>
      </c>
      <c r="D450" s="0" t="s">
        <v>430</v>
      </c>
      <c r="E450" s="0" t="s">
        <v>2123</v>
      </c>
      <c r="F450" s="0" t="n">
        <v>6610</v>
      </c>
      <c r="G450" s="0" t="s">
        <v>140</v>
      </c>
      <c r="H450" s="0" t="n">
        <v>131</v>
      </c>
      <c r="I450" s="0" t="n">
        <v>0</v>
      </c>
      <c r="J450" s="0" t="n">
        <v>0</v>
      </c>
      <c r="K450" s="0" t="n">
        <v>54</v>
      </c>
      <c r="L450" s="0" t="n">
        <v>309</v>
      </c>
      <c r="M450" s="0" t="n">
        <v>425</v>
      </c>
      <c r="N450" s="0" t="n">
        <v>13</v>
      </c>
      <c r="O450" s="0" t="n">
        <v>0</v>
      </c>
      <c r="P450" s="0" t="n">
        <v>33</v>
      </c>
      <c r="Q450" s="114" t="n">
        <v>35</v>
      </c>
      <c r="R450" s="114" t="n">
        <v>82</v>
      </c>
      <c r="S450" s="114" t="n">
        <v>1.4</v>
      </c>
      <c r="T450" s="114" t="n">
        <v>1.3</v>
      </c>
      <c r="U450" s="114" t="n">
        <v>1.15</v>
      </c>
      <c r="V450" s="0" t="n">
        <v>3</v>
      </c>
      <c r="W450" s="0" t="n">
        <v>3</v>
      </c>
      <c r="X450" s="0" t="n">
        <v>2</v>
      </c>
      <c r="Y450" s="0" t="s">
        <v>2124</v>
      </c>
      <c r="Z450" s="0" t="s">
        <v>1858</v>
      </c>
      <c r="AA450" s="0" t="s">
        <v>2125</v>
      </c>
      <c r="AB450" s="0" t="s">
        <v>2156</v>
      </c>
      <c r="AC450" s="0" t="s">
        <v>2157</v>
      </c>
      <c r="AD450" s="0" t="s">
        <v>2158</v>
      </c>
      <c r="AE450" s="0" t="s">
        <v>2159</v>
      </c>
      <c r="AF450" s="0" t="s">
        <v>58</v>
      </c>
      <c r="AG450" s="0" t="s">
        <v>58</v>
      </c>
      <c r="AH450" s="0" t="s">
        <v>58</v>
      </c>
      <c r="AI450" s="0" t="s">
        <v>58</v>
      </c>
      <c r="AJ450" s="0" t="s">
        <v>2160</v>
      </c>
      <c r="AK450" s="0" t="s">
        <v>2161</v>
      </c>
      <c r="AL450" s="0" t="s">
        <v>58</v>
      </c>
      <c r="AM450" s="0" t="s">
        <v>58</v>
      </c>
      <c r="AN450" s="0" t="s">
        <v>2162</v>
      </c>
      <c r="AO450" s="0" t="s">
        <v>2163</v>
      </c>
      <c r="AP450" s="0" t="s">
        <v>58</v>
      </c>
      <c r="AQ450" s="0" t="s">
        <v>58</v>
      </c>
    </row>
    <row r="451" customFormat="false" ht="14.4" hidden="false" customHeight="false" outlineLevel="0" collapsed="false">
      <c r="B451" s="0" t="s">
        <v>2164</v>
      </c>
      <c r="C451" s="0" t="s">
        <v>471</v>
      </c>
      <c r="D451" s="0" t="s">
        <v>438</v>
      </c>
      <c r="E451" s="0" t="s">
        <v>2123</v>
      </c>
      <c r="F451" s="0" t="n">
        <v>6193</v>
      </c>
      <c r="G451" s="0" t="s">
        <v>140</v>
      </c>
      <c r="H451" s="0" t="n">
        <v>112</v>
      </c>
      <c r="I451" s="0" t="n">
        <v>0</v>
      </c>
      <c r="J451" s="0" t="n">
        <v>0</v>
      </c>
      <c r="K451" s="0" t="n">
        <v>47</v>
      </c>
      <c r="L451" s="0" t="n">
        <v>307</v>
      </c>
      <c r="M451" s="0" t="n">
        <v>370</v>
      </c>
      <c r="N451" s="0" t="n">
        <v>12</v>
      </c>
      <c r="O451" s="0" t="n">
        <v>0</v>
      </c>
      <c r="P451" s="0" t="n">
        <v>24</v>
      </c>
      <c r="Q451" s="0" t="n">
        <v>40</v>
      </c>
      <c r="R451" s="0" t="n">
        <v>89</v>
      </c>
      <c r="S451" s="114" t="n">
        <v>1.35</v>
      </c>
      <c r="T451" s="114" t="n">
        <v>1.4</v>
      </c>
      <c r="U451" s="114" t="n">
        <v>0.55</v>
      </c>
      <c r="V451" s="0" t="n">
        <v>3</v>
      </c>
      <c r="W451" s="0" t="n">
        <v>3</v>
      </c>
      <c r="X451" s="0" t="n">
        <v>2</v>
      </c>
      <c r="Y451" s="0" t="s">
        <v>2124</v>
      </c>
      <c r="Z451" s="0" t="s">
        <v>2125</v>
      </c>
      <c r="AA451" s="0" t="s">
        <v>1858</v>
      </c>
    </row>
    <row r="452" customFormat="false" ht="14.4" hidden="false" customHeight="false" outlineLevel="0" collapsed="false">
      <c r="A452" s="0" t="n">
        <v>77</v>
      </c>
      <c r="B452" s="0" t="s">
        <v>2165</v>
      </c>
      <c r="C452" s="0" t="s">
        <v>437</v>
      </c>
      <c r="D452" s="0" t="s">
        <v>430</v>
      </c>
      <c r="E452" s="0" t="s">
        <v>2123</v>
      </c>
      <c r="F452" s="0" t="n">
        <v>6193</v>
      </c>
      <c r="G452" s="0" t="s">
        <v>140</v>
      </c>
      <c r="H452" s="0" t="n">
        <v>132</v>
      </c>
      <c r="I452" s="0" t="n">
        <v>0</v>
      </c>
      <c r="J452" s="0" t="n">
        <v>0</v>
      </c>
      <c r="K452" s="0" t="n">
        <v>62</v>
      </c>
      <c r="L452" s="0" t="n">
        <v>329</v>
      </c>
      <c r="M452" s="0" t="n">
        <v>429</v>
      </c>
      <c r="N452" s="0" t="n">
        <v>13</v>
      </c>
      <c r="O452" s="0" t="n">
        <v>0</v>
      </c>
      <c r="P452" s="0" t="n">
        <v>32</v>
      </c>
      <c r="Q452" s="114" t="n">
        <v>93</v>
      </c>
      <c r="R452" s="114" t="n">
        <v>107</v>
      </c>
      <c r="S452" s="114" t="n">
        <v>1.25</v>
      </c>
      <c r="T452" s="114" t="n">
        <v>1.25</v>
      </c>
      <c r="U452" s="114" t="n">
        <v>1.25</v>
      </c>
      <c r="V452" s="0" t="n">
        <v>3</v>
      </c>
      <c r="W452" s="0" t="n">
        <v>3</v>
      </c>
      <c r="X452" s="0" t="n">
        <v>2</v>
      </c>
      <c r="Y452" s="0" t="s">
        <v>2124</v>
      </c>
      <c r="Z452" s="0" t="s">
        <v>1858</v>
      </c>
      <c r="AA452" s="0" t="s">
        <v>2125</v>
      </c>
      <c r="AB452" s="0" t="s">
        <v>58</v>
      </c>
      <c r="AC452" s="0" t="s">
        <v>58</v>
      </c>
      <c r="AD452" s="0" t="s">
        <v>58</v>
      </c>
      <c r="AE452" s="0" t="s">
        <v>58</v>
      </c>
      <c r="AF452" s="0" t="s">
        <v>58</v>
      </c>
      <c r="AG452" s="0" t="s">
        <v>58</v>
      </c>
      <c r="AH452" s="0" t="s">
        <v>58</v>
      </c>
      <c r="AI452" s="0" t="s">
        <v>58</v>
      </c>
      <c r="AJ452" s="0" t="s">
        <v>2166</v>
      </c>
      <c r="AK452" s="0" t="s">
        <v>58</v>
      </c>
      <c r="AL452" s="0" t="s">
        <v>58</v>
      </c>
      <c r="AM452" s="0" t="s">
        <v>58</v>
      </c>
      <c r="AN452" s="0" t="s">
        <v>2167</v>
      </c>
      <c r="AO452" s="0" t="s">
        <v>58</v>
      </c>
      <c r="AP452" s="0" t="s">
        <v>58</v>
      </c>
      <c r="AQ452" s="0" t="s">
        <v>58</v>
      </c>
    </row>
    <row r="453" customFormat="false" ht="14.4" hidden="false" customHeight="false" outlineLevel="0" collapsed="false">
      <c r="A453" s="0" t="n">
        <v>357</v>
      </c>
      <c r="B453" s="0" t="s">
        <v>2168</v>
      </c>
      <c r="C453" s="0" t="s">
        <v>437</v>
      </c>
      <c r="D453" s="0" t="s">
        <v>430</v>
      </c>
      <c r="E453" s="0" t="s">
        <v>2123</v>
      </c>
      <c r="F453" s="0" t="n">
        <v>6647</v>
      </c>
      <c r="G453" s="0" t="s">
        <v>140</v>
      </c>
      <c r="H453" s="0" t="n">
        <v>131</v>
      </c>
      <c r="I453" s="0" t="n">
        <v>0</v>
      </c>
      <c r="J453" s="0" t="n">
        <v>0</v>
      </c>
      <c r="K453" s="0" t="n">
        <v>54</v>
      </c>
      <c r="L453" s="0" t="n">
        <v>331</v>
      </c>
      <c r="M453" s="0" t="n">
        <v>433</v>
      </c>
      <c r="N453" s="0" t="n">
        <v>13</v>
      </c>
      <c r="O453" s="0" t="n">
        <v>0</v>
      </c>
      <c r="P453" s="0" t="n">
        <v>33</v>
      </c>
      <c r="Q453" s="114" t="n">
        <v>90</v>
      </c>
      <c r="R453" s="114" t="n">
        <v>88</v>
      </c>
      <c r="S453" s="114" t="n">
        <v>1.4</v>
      </c>
      <c r="T453" s="114" t="n">
        <v>1.3</v>
      </c>
      <c r="U453" s="114" t="n">
        <v>1.2</v>
      </c>
      <c r="V453" s="0" t="n">
        <v>3</v>
      </c>
      <c r="W453" s="0" t="n">
        <v>3</v>
      </c>
      <c r="X453" s="0" t="n">
        <v>2</v>
      </c>
      <c r="Y453" s="0" t="s">
        <v>2124</v>
      </c>
      <c r="Z453" s="0" t="s">
        <v>1858</v>
      </c>
      <c r="AA453" s="0" t="s">
        <v>2125</v>
      </c>
      <c r="AB453" s="0" t="s">
        <v>2169</v>
      </c>
      <c r="AC453" s="0" t="s">
        <v>58</v>
      </c>
      <c r="AD453" s="0" t="s">
        <v>58</v>
      </c>
      <c r="AE453" s="0" t="s">
        <v>58</v>
      </c>
      <c r="AF453" s="0" t="s">
        <v>58</v>
      </c>
      <c r="AG453" s="0" t="s">
        <v>58</v>
      </c>
      <c r="AH453" s="0" t="s">
        <v>58</v>
      </c>
      <c r="AI453" s="0" t="s">
        <v>58</v>
      </c>
      <c r="AJ453" s="0" t="s">
        <v>2170</v>
      </c>
      <c r="AK453" s="0" t="s">
        <v>2171</v>
      </c>
      <c r="AL453" s="0" t="s">
        <v>2172</v>
      </c>
      <c r="AM453" s="0" t="s">
        <v>58</v>
      </c>
      <c r="AN453" s="0" t="s">
        <v>2169</v>
      </c>
      <c r="AO453" s="0" t="s">
        <v>2173</v>
      </c>
      <c r="AP453" s="0" t="s">
        <v>2174</v>
      </c>
      <c r="AQ453" s="0" t="s">
        <v>58</v>
      </c>
    </row>
    <row r="454" customFormat="false" ht="14.4" hidden="false" customHeight="false" outlineLevel="0" collapsed="false">
      <c r="A454" s="0" t="n">
        <v>147</v>
      </c>
      <c r="B454" s="0" t="s">
        <v>2175</v>
      </c>
      <c r="C454" s="0" t="s">
        <v>471</v>
      </c>
      <c r="D454" s="0" t="s">
        <v>430</v>
      </c>
      <c r="E454" s="0" t="s">
        <v>2123</v>
      </c>
      <c r="F454" s="0" t="n">
        <v>6481</v>
      </c>
      <c r="G454" s="0" t="s">
        <v>140</v>
      </c>
      <c r="H454" s="0" t="n">
        <v>117</v>
      </c>
      <c r="I454" s="0" t="n">
        <v>0</v>
      </c>
      <c r="J454" s="0" t="n">
        <v>0</v>
      </c>
      <c r="K454" s="0" t="n">
        <v>51</v>
      </c>
      <c r="L454" s="0" t="n">
        <v>289</v>
      </c>
      <c r="M454" s="0" t="n">
        <v>413</v>
      </c>
      <c r="N454" s="0" t="n">
        <v>13</v>
      </c>
      <c r="O454" s="0" t="n">
        <v>0</v>
      </c>
      <c r="P454" s="0" t="n">
        <v>30</v>
      </c>
      <c r="Q454" s="0" t="n">
        <v>75</v>
      </c>
      <c r="R454" s="0" t="n">
        <v>90</v>
      </c>
      <c r="S454" s="114" t="n">
        <v>1.2</v>
      </c>
      <c r="T454" s="114" t="n">
        <v>1.35</v>
      </c>
      <c r="U454" s="114" t="n">
        <v>1.25</v>
      </c>
      <c r="V454" s="0" t="n">
        <v>2</v>
      </c>
      <c r="W454" s="0" t="n">
        <v>3</v>
      </c>
      <c r="X454" s="0" t="n">
        <v>3</v>
      </c>
      <c r="Y454" s="0" t="s">
        <v>2124</v>
      </c>
      <c r="Z454" s="0" t="s">
        <v>2125</v>
      </c>
      <c r="AA454" s="0" t="s">
        <v>2125</v>
      </c>
      <c r="AB454" s="0" t="s">
        <v>2176</v>
      </c>
      <c r="AC454" s="0" t="s">
        <v>58</v>
      </c>
      <c r="AD454" s="0" t="s">
        <v>58</v>
      </c>
      <c r="AE454" s="0" t="s">
        <v>58</v>
      </c>
      <c r="AF454" s="0" t="s">
        <v>58</v>
      </c>
      <c r="AG454" s="0" t="s">
        <v>58</v>
      </c>
      <c r="AH454" s="0" t="s">
        <v>58</v>
      </c>
      <c r="AI454" s="0" t="s">
        <v>58</v>
      </c>
      <c r="AJ454" s="0" t="s">
        <v>2177</v>
      </c>
      <c r="AK454" s="0" t="s">
        <v>2178</v>
      </c>
      <c r="AL454" s="0" t="s">
        <v>2179</v>
      </c>
      <c r="AM454" s="0" t="s">
        <v>58</v>
      </c>
      <c r="AN454" s="0" t="s">
        <v>2176</v>
      </c>
      <c r="AO454" s="0" t="s">
        <v>2180</v>
      </c>
      <c r="AP454" s="0" t="s">
        <v>2181</v>
      </c>
      <c r="AQ454" s="0" t="s">
        <v>58</v>
      </c>
    </row>
    <row r="455" customFormat="false" ht="14.4" hidden="false" customHeight="false" outlineLevel="0" collapsed="false">
      <c r="A455" s="0" t="s">
        <v>2182</v>
      </c>
      <c r="B455" s="0" t="s">
        <v>2183</v>
      </c>
      <c r="C455" s="0" t="s">
        <v>934</v>
      </c>
      <c r="D455" s="0" t="s">
        <v>438</v>
      </c>
      <c r="E455" s="0" t="s">
        <v>2123</v>
      </c>
      <c r="F455" s="0" t="n">
        <v>5126</v>
      </c>
      <c r="G455" s="0" t="s">
        <v>140</v>
      </c>
      <c r="H455" s="0" t="n">
        <v>95</v>
      </c>
      <c r="I455" s="0" t="n">
        <v>0</v>
      </c>
      <c r="J455" s="0" t="n">
        <v>0</v>
      </c>
      <c r="K455" s="0" t="n">
        <v>54</v>
      </c>
      <c r="L455" s="0" t="n">
        <v>266</v>
      </c>
      <c r="M455" s="0" t="n">
        <v>337</v>
      </c>
      <c r="N455" s="0" t="n">
        <v>12</v>
      </c>
      <c r="O455" s="0" t="n">
        <v>0</v>
      </c>
      <c r="P455" s="0" t="n">
        <v>32</v>
      </c>
      <c r="Q455" s="114" t="n">
        <v>43</v>
      </c>
      <c r="R455" s="114" t="n">
        <v>82</v>
      </c>
      <c r="S455" s="114" t="n">
        <v>1.05</v>
      </c>
      <c r="T455" s="114" t="n">
        <v>1.05</v>
      </c>
      <c r="U455" s="114" t="n">
        <v>1.05</v>
      </c>
      <c r="V455" s="0" t="n">
        <v>2</v>
      </c>
      <c r="W455" s="0" t="n">
        <v>3</v>
      </c>
      <c r="X455" s="0" t="n">
        <v>3</v>
      </c>
      <c r="Y455" s="0" t="s">
        <v>2124</v>
      </c>
      <c r="Z455" s="0" t="s">
        <v>2125</v>
      </c>
      <c r="AA455" s="0" t="s">
        <v>2125</v>
      </c>
      <c r="AB455" s="0" t="s">
        <v>2184</v>
      </c>
      <c r="AC455" s="0" t="s">
        <v>58</v>
      </c>
      <c r="AD455" s="0" t="s">
        <v>58</v>
      </c>
      <c r="AE455" s="0" t="s">
        <v>58</v>
      </c>
      <c r="AF455" s="0" t="s">
        <v>58</v>
      </c>
      <c r="AG455" s="0" t="s">
        <v>58</v>
      </c>
      <c r="AH455" s="0" t="s">
        <v>58</v>
      </c>
      <c r="AI455" s="0" t="s">
        <v>58</v>
      </c>
      <c r="AJ455" s="0" t="s">
        <v>2185</v>
      </c>
      <c r="AK455" s="0" t="s">
        <v>2186</v>
      </c>
      <c r="AL455" s="0" t="s">
        <v>58</v>
      </c>
      <c r="AM455" s="0" t="s">
        <v>58</v>
      </c>
      <c r="AN455" s="0" t="s">
        <v>2187</v>
      </c>
      <c r="AO455" s="0" t="s">
        <v>2184</v>
      </c>
      <c r="AP455" s="0" t="s">
        <v>58</v>
      </c>
      <c r="AQ455" s="0" t="s">
        <v>58</v>
      </c>
    </row>
    <row r="456" customFormat="false" ht="15" hidden="false" customHeight="true" outlineLevel="0" collapsed="false">
      <c r="A456" s="0" t="n">
        <v>148</v>
      </c>
      <c r="B456" s="0" t="s">
        <v>2188</v>
      </c>
      <c r="C456" s="0" t="s">
        <v>471</v>
      </c>
      <c r="D456" s="0" t="s">
        <v>438</v>
      </c>
      <c r="E456" s="0" t="s">
        <v>2123</v>
      </c>
      <c r="F456" s="0" t="n">
        <v>6313</v>
      </c>
      <c r="G456" s="0" t="s">
        <v>140</v>
      </c>
      <c r="H456" s="0" t="n">
        <v>109</v>
      </c>
      <c r="I456" s="0" t="n">
        <v>0</v>
      </c>
      <c r="J456" s="0" t="n">
        <v>0</v>
      </c>
      <c r="K456" s="0" t="n">
        <v>51</v>
      </c>
      <c r="L456" s="0" t="n">
        <v>292</v>
      </c>
      <c r="M456" s="0" t="n">
        <v>360</v>
      </c>
      <c r="N456" s="0" t="n">
        <v>12</v>
      </c>
      <c r="O456" s="0" t="n">
        <v>0</v>
      </c>
      <c r="P456" s="0" t="n">
        <v>30</v>
      </c>
      <c r="Q456" s="114" t="n">
        <v>32</v>
      </c>
      <c r="R456" s="114" t="n">
        <v>88</v>
      </c>
      <c r="S456" s="114" t="n">
        <v>1.4</v>
      </c>
      <c r="T456" s="114" t="n">
        <v>1.15</v>
      </c>
      <c r="U456" s="114" t="n">
        <v>1.15</v>
      </c>
      <c r="V456" s="0" t="n">
        <v>3</v>
      </c>
      <c r="W456" s="0" t="n">
        <v>2</v>
      </c>
      <c r="X456" s="0" t="n">
        <v>2</v>
      </c>
      <c r="Y456" s="0" t="s">
        <v>2124</v>
      </c>
      <c r="Z456" s="0" t="s">
        <v>2125</v>
      </c>
      <c r="AA456" s="0" t="s">
        <v>2125</v>
      </c>
      <c r="AB456" s="0" t="s">
        <v>58</v>
      </c>
      <c r="AC456" s="0" t="s">
        <v>58</v>
      </c>
      <c r="AD456" s="0" t="s">
        <v>58</v>
      </c>
      <c r="AE456" s="0" t="s">
        <v>58</v>
      </c>
      <c r="AF456" s="0" t="s">
        <v>58</v>
      </c>
      <c r="AG456" s="0" t="s">
        <v>58</v>
      </c>
      <c r="AH456" s="0" t="s">
        <v>58</v>
      </c>
      <c r="AI456" s="0" t="s">
        <v>58</v>
      </c>
      <c r="AJ456" s="0" t="s">
        <v>2189</v>
      </c>
      <c r="AK456" s="0" t="s">
        <v>2190</v>
      </c>
      <c r="AL456" s="0" t="s">
        <v>58</v>
      </c>
      <c r="AM456" s="0" t="s">
        <v>58</v>
      </c>
      <c r="AN456" s="0" t="s">
        <v>2191</v>
      </c>
      <c r="AO456" s="0" t="s">
        <v>2192</v>
      </c>
      <c r="AP456" s="0" t="s">
        <v>58</v>
      </c>
      <c r="AQ456" s="0" t="s">
        <v>58</v>
      </c>
    </row>
    <row r="457" customFormat="false" ht="14.4" hidden="false" customHeight="true" outlineLevel="0" collapsed="false">
      <c r="A457" s="0" t="n">
        <v>252</v>
      </c>
      <c r="B457" s="0" t="s">
        <v>2193</v>
      </c>
      <c r="C457" s="0" t="s">
        <v>1065</v>
      </c>
      <c r="D457" s="0" t="s">
        <v>430</v>
      </c>
      <c r="E457" s="0" t="s">
        <v>2123</v>
      </c>
      <c r="F457" s="0" t="n">
        <v>7488</v>
      </c>
      <c r="G457" s="0" t="s">
        <v>140</v>
      </c>
      <c r="H457" s="0" t="n">
        <v>115</v>
      </c>
      <c r="I457" s="0" t="n">
        <v>0</v>
      </c>
      <c r="J457" s="0" t="n">
        <v>0</v>
      </c>
      <c r="K457" s="0" t="n">
        <v>50</v>
      </c>
      <c r="L457" s="0" t="n">
        <v>319</v>
      </c>
      <c r="M457" s="0" t="n">
        <v>400</v>
      </c>
      <c r="N457" s="0" t="n">
        <v>13</v>
      </c>
      <c r="O457" s="0" t="n">
        <v>0</v>
      </c>
      <c r="P457" s="0" t="n">
        <v>33</v>
      </c>
      <c r="Q457" s="114" t="n">
        <v>45</v>
      </c>
      <c r="R457" s="114" t="n">
        <v>87</v>
      </c>
      <c r="S457" s="114" t="n">
        <v>1.2</v>
      </c>
      <c r="T457" s="114" t="n">
        <v>1.3</v>
      </c>
      <c r="U457" s="114" t="n">
        <v>1.3</v>
      </c>
      <c r="V457" s="0" t="n">
        <v>2</v>
      </c>
      <c r="W457" s="0" t="n">
        <v>3</v>
      </c>
      <c r="X457" s="0" t="n">
        <v>3</v>
      </c>
      <c r="Y457" s="0" t="s">
        <v>2124</v>
      </c>
      <c r="Z457" s="0" t="s">
        <v>1858</v>
      </c>
      <c r="AA457" s="0" t="s">
        <v>1858</v>
      </c>
      <c r="AB457" s="0" t="s">
        <v>58</v>
      </c>
      <c r="AC457" s="0" t="s">
        <v>58</v>
      </c>
      <c r="AD457" s="0" t="s">
        <v>58</v>
      </c>
      <c r="AE457" s="0" t="s">
        <v>58</v>
      </c>
      <c r="AF457" s="0" t="s">
        <v>58</v>
      </c>
      <c r="AG457" s="0" t="s">
        <v>58</v>
      </c>
      <c r="AH457" s="0" t="s">
        <v>58</v>
      </c>
      <c r="AI457" s="0" t="s">
        <v>58</v>
      </c>
      <c r="AJ457" s="0" t="s">
        <v>2194</v>
      </c>
      <c r="AK457" s="0" t="s">
        <v>2195</v>
      </c>
      <c r="AL457" s="0" t="s">
        <v>58</v>
      </c>
      <c r="AM457" s="0" t="s">
        <v>58</v>
      </c>
      <c r="AN457" s="0" t="s">
        <v>2196</v>
      </c>
      <c r="AO457" s="0" t="s">
        <v>2197</v>
      </c>
      <c r="AP457" s="0" t="s">
        <v>58</v>
      </c>
      <c r="AQ457" s="0" t="s">
        <v>58</v>
      </c>
    </row>
    <row r="458" customFormat="false" ht="14.4" hidden="false" customHeight="true" outlineLevel="0" collapsed="false">
      <c r="A458" s="0" t="s">
        <v>2198</v>
      </c>
      <c r="B458" s="0" t="s">
        <v>2199</v>
      </c>
      <c r="C458" s="0" t="s">
        <v>562</v>
      </c>
      <c r="D458" s="0" t="s">
        <v>430</v>
      </c>
      <c r="E458" s="0" t="s">
        <v>2123</v>
      </c>
      <c r="F458" s="0" t="n">
        <v>5781</v>
      </c>
      <c r="G458" s="0" t="s">
        <v>140</v>
      </c>
      <c r="H458" s="0" t="n">
        <v>115</v>
      </c>
      <c r="I458" s="0" t="n">
        <v>0</v>
      </c>
      <c r="J458" s="0" t="n">
        <v>0</v>
      </c>
      <c r="K458" s="0" t="n">
        <v>55</v>
      </c>
      <c r="L458" s="0" t="n">
        <v>298</v>
      </c>
      <c r="M458" s="0" t="n">
        <v>395</v>
      </c>
      <c r="N458" s="0" t="n">
        <v>13</v>
      </c>
      <c r="O458" s="0" t="n">
        <v>0</v>
      </c>
      <c r="P458" s="0" t="n">
        <v>28</v>
      </c>
      <c r="Q458" s="114" t="n">
        <v>95</v>
      </c>
      <c r="R458" s="114" t="n">
        <v>86</v>
      </c>
      <c r="S458" s="114" t="n">
        <v>1.2</v>
      </c>
      <c r="T458" s="114" t="n">
        <v>1.25</v>
      </c>
      <c r="U458" s="114" t="n">
        <v>1.25</v>
      </c>
      <c r="V458" s="0" t="n">
        <v>3</v>
      </c>
      <c r="W458" s="0" t="n">
        <v>2</v>
      </c>
      <c r="X458" s="0" t="n">
        <v>2</v>
      </c>
      <c r="Y458" s="0" t="s">
        <v>2124</v>
      </c>
      <c r="Z458" s="0" t="s">
        <v>1858</v>
      </c>
      <c r="AA458" s="0" t="s">
        <v>1858</v>
      </c>
      <c r="AB458" s="0" t="s">
        <v>2200</v>
      </c>
      <c r="AC458" s="0" t="s">
        <v>58</v>
      </c>
      <c r="AD458" s="0" t="s">
        <v>58</v>
      </c>
      <c r="AE458" s="0" t="s">
        <v>58</v>
      </c>
      <c r="AF458" s="0" t="s">
        <v>58</v>
      </c>
      <c r="AG458" s="0" t="s">
        <v>58</v>
      </c>
      <c r="AH458" s="0" t="s">
        <v>58</v>
      </c>
      <c r="AI458" s="0" t="s">
        <v>58</v>
      </c>
      <c r="AJ458" s="0" t="s">
        <v>2201</v>
      </c>
      <c r="AK458" s="0" t="s">
        <v>2202</v>
      </c>
      <c r="AL458" s="0" t="s">
        <v>58</v>
      </c>
      <c r="AM458" s="0" t="s">
        <v>58</v>
      </c>
      <c r="AN458" s="0" t="s">
        <v>2203</v>
      </c>
      <c r="AO458" s="0" t="s">
        <v>2200</v>
      </c>
      <c r="AP458" s="0" t="s">
        <v>58</v>
      </c>
      <c r="AQ458" s="0" t="s">
        <v>58</v>
      </c>
    </row>
    <row r="459" customFormat="false" ht="15" hidden="false" customHeight="true" outlineLevel="0" collapsed="false">
      <c r="A459" s="0" t="n">
        <v>227</v>
      </c>
      <c r="B459" s="0" t="s">
        <v>2204</v>
      </c>
      <c r="C459" s="0" t="s">
        <v>429</v>
      </c>
      <c r="D459" s="0" t="s">
        <v>438</v>
      </c>
      <c r="E459" s="0" t="s">
        <v>2123</v>
      </c>
      <c r="F459" s="0" t="n">
        <v>5468</v>
      </c>
      <c r="G459" s="0" t="s">
        <v>140</v>
      </c>
      <c r="H459" s="0" t="n">
        <v>121</v>
      </c>
      <c r="I459" s="0" t="n">
        <v>0</v>
      </c>
      <c r="J459" s="0" t="n">
        <v>0</v>
      </c>
      <c r="K459" s="0" t="n">
        <v>56</v>
      </c>
      <c r="L459" s="0" t="n">
        <v>311</v>
      </c>
      <c r="M459" s="0" t="n">
        <v>391</v>
      </c>
      <c r="N459" s="0" t="n">
        <v>12</v>
      </c>
      <c r="O459" s="0" t="n">
        <v>0</v>
      </c>
      <c r="P459" s="0" t="n">
        <v>34</v>
      </c>
      <c r="Q459" s="114" t="n">
        <v>36</v>
      </c>
      <c r="R459" s="114" t="n">
        <v>85</v>
      </c>
      <c r="S459" s="114" t="n">
        <v>1.1</v>
      </c>
      <c r="T459" s="114" t="n">
        <v>1.1</v>
      </c>
      <c r="U459" s="114" t="n">
        <v>1.5</v>
      </c>
      <c r="V459" s="0" t="n">
        <v>3</v>
      </c>
      <c r="W459" s="0" t="n">
        <v>2</v>
      </c>
      <c r="X459" s="0" t="n">
        <v>3</v>
      </c>
      <c r="Y459" s="0" t="s">
        <v>2124</v>
      </c>
      <c r="Z459" s="0" t="s">
        <v>1858</v>
      </c>
      <c r="AA459" s="0" t="s">
        <v>2125</v>
      </c>
      <c r="AB459" s="0" t="s">
        <v>58</v>
      </c>
      <c r="AC459" s="0" t="s">
        <v>58</v>
      </c>
      <c r="AD459" s="0" t="s">
        <v>58</v>
      </c>
      <c r="AE459" s="0" t="s">
        <v>58</v>
      </c>
      <c r="AF459" s="0" t="s">
        <v>58</v>
      </c>
      <c r="AG459" s="0" t="s">
        <v>58</v>
      </c>
      <c r="AH459" s="0" t="s">
        <v>58</v>
      </c>
      <c r="AI459" s="0" t="s">
        <v>58</v>
      </c>
      <c r="AJ459" s="0" t="s">
        <v>2205</v>
      </c>
      <c r="AK459" s="0" t="s">
        <v>2206</v>
      </c>
      <c r="AL459" s="0" t="s">
        <v>58</v>
      </c>
      <c r="AM459" s="0" t="s">
        <v>58</v>
      </c>
      <c r="AN459" s="0" t="s">
        <v>2207</v>
      </c>
      <c r="AO459" s="0" t="s">
        <v>2208</v>
      </c>
      <c r="AP459" s="0" t="s">
        <v>58</v>
      </c>
      <c r="AQ459" s="0" t="s">
        <v>58</v>
      </c>
    </row>
    <row r="460" customFormat="false" ht="14.4" hidden="false" customHeight="false" outlineLevel="0" collapsed="false">
      <c r="A460" s="0" t="n">
        <v>3227</v>
      </c>
      <c r="B460" s="0" t="s">
        <v>2209</v>
      </c>
      <c r="C460" s="0" t="s">
        <v>429</v>
      </c>
      <c r="D460" s="0" t="s">
        <v>430</v>
      </c>
      <c r="E460" s="0" t="s">
        <v>2123</v>
      </c>
      <c r="F460" s="0" t="n">
        <v>5678</v>
      </c>
      <c r="G460" s="0" t="s">
        <v>140</v>
      </c>
      <c r="H460" s="0" t="n">
        <v>141</v>
      </c>
      <c r="I460" s="0" t="n">
        <v>0</v>
      </c>
      <c r="J460" s="0" t="n">
        <v>0</v>
      </c>
      <c r="K460" s="0" t="n">
        <v>66</v>
      </c>
      <c r="L460" s="0" t="n">
        <v>361</v>
      </c>
      <c r="M460" s="0" t="n">
        <v>426</v>
      </c>
      <c r="N460" s="0" t="n">
        <v>12</v>
      </c>
      <c r="O460" s="0" t="n">
        <v>0</v>
      </c>
      <c r="P460" s="0" t="n">
        <v>34</v>
      </c>
      <c r="Q460" s="114" t="n">
        <v>36</v>
      </c>
      <c r="R460" s="114" t="n">
        <v>85</v>
      </c>
      <c r="S460" s="114" t="n">
        <v>1.25</v>
      </c>
      <c r="T460" s="114" t="n">
        <v>1.15</v>
      </c>
      <c r="U460" s="114" t="n">
        <v>1.5</v>
      </c>
      <c r="V460" s="0" t="n">
        <v>3</v>
      </c>
      <c r="W460" s="0" t="n">
        <v>2</v>
      </c>
      <c r="X460" s="0" t="n">
        <v>3</v>
      </c>
      <c r="Y460" s="0" t="s">
        <v>2124</v>
      </c>
      <c r="Z460" s="0" t="s">
        <v>1858</v>
      </c>
      <c r="AA460" s="0" t="s">
        <v>2125</v>
      </c>
      <c r="AB460" s="161" t="s">
        <v>2210</v>
      </c>
      <c r="AC460" s="161" t="s">
        <v>2211</v>
      </c>
      <c r="AD460" s="161" t="s">
        <v>2212</v>
      </c>
      <c r="AE460" s="161" t="s">
        <v>2213</v>
      </c>
      <c r="AF460" s="161" t="s">
        <v>58</v>
      </c>
      <c r="AG460" s="161" t="s">
        <v>58</v>
      </c>
      <c r="AH460" s="161" t="s">
        <v>58</v>
      </c>
      <c r="AI460" s="0" t="s">
        <v>58</v>
      </c>
      <c r="AJ460" s="161" t="s">
        <v>2205</v>
      </c>
      <c r="AK460" s="0" t="s">
        <v>2206</v>
      </c>
      <c r="AL460" s="161" t="s">
        <v>2214</v>
      </c>
      <c r="AM460" s="0" t="s">
        <v>58</v>
      </c>
      <c r="AN460" s="161" t="s">
        <v>2207</v>
      </c>
      <c r="AO460" s="0" t="s">
        <v>2208</v>
      </c>
      <c r="AP460" s="161" t="s">
        <v>2215</v>
      </c>
      <c r="AQ460" s="0" t="s">
        <v>58</v>
      </c>
    </row>
    <row r="461" customFormat="false" ht="14.4" hidden="false" customHeight="false" outlineLevel="0" collapsed="false">
      <c r="A461" s="0" t="n">
        <v>78</v>
      </c>
      <c r="B461" s="0" t="s">
        <v>2216</v>
      </c>
      <c r="C461" s="0" t="s">
        <v>437</v>
      </c>
      <c r="D461" s="0" t="s">
        <v>438</v>
      </c>
      <c r="E461" s="0" t="s">
        <v>2123</v>
      </c>
      <c r="F461" s="0" t="n">
        <v>5823</v>
      </c>
      <c r="G461" s="0" t="s">
        <v>140</v>
      </c>
      <c r="H461" s="0" t="n">
        <v>121</v>
      </c>
      <c r="I461" s="0" t="n">
        <v>0</v>
      </c>
      <c r="J461" s="0" t="n">
        <v>0</v>
      </c>
      <c r="K461" s="0" t="n">
        <v>54</v>
      </c>
      <c r="L461" s="0" t="n">
        <v>307</v>
      </c>
      <c r="M461" s="0" t="n">
        <v>401</v>
      </c>
      <c r="N461" s="0" t="n">
        <v>12</v>
      </c>
      <c r="O461" s="0" t="n">
        <v>0</v>
      </c>
      <c r="P461" s="0" t="n">
        <v>32</v>
      </c>
      <c r="Q461" s="114" t="n">
        <v>15</v>
      </c>
      <c r="R461" s="114" t="n">
        <v>96</v>
      </c>
      <c r="S461" s="114" t="n">
        <v>1.25</v>
      </c>
      <c r="T461" s="114" t="n">
        <v>1.25</v>
      </c>
      <c r="U461" s="114" t="n">
        <v>1.25</v>
      </c>
      <c r="V461" s="0" t="n">
        <v>3</v>
      </c>
      <c r="W461" s="0" t="n">
        <v>3</v>
      </c>
      <c r="X461" s="0" t="n">
        <v>2</v>
      </c>
      <c r="Y461" s="0" t="s">
        <v>2124</v>
      </c>
      <c r="Z461" s="0" t="s">
        <v>1858</v>
      </c>
      <c r="AA461" s="0" t="s">
        <v>2125</v>
      </c>
      <c r="AB461" s="0" t="s">
        <v>2217</v>
      </c>
      <c r="AC461" s="0" t="s">
        <v>58</v>
      </c>
      <c r="AD461" s="0" t="s">
        <v>58</v>
      </c>
      <c r="AE461" s="0" t="s">
        <v>58</v>
      </c>
      <c r="AF461" s="0" t="s">
        <v>58</v>
      </c>
      <c r="AG461" s="0" t="s">
        <v>58</v>
      </c>
      <c r="AH461" s="0" t="s">
        <v>58</v>
      </c>
      <c r="AI461" s="0" t="s">
        <v>58</v>
      </c>
      <c r="AJ461" s="0" t="s">
        <v>2218</v>
      </c>
      <c r="AK461" s="0" t="s">
        <v>2150</v>
      </c>
      <c r="AL461" s="0" t="s">
        <v>58</v>
      </c>
      <c r="AM461" s="0" t="s">
        <v>58</v>
      </c>
      <c r="AN461" s="0" t="s">
        <v>2217</v>
      </c>
      <c r="AO461" s="0" t="s">
        <v>2151</v>
      </c>
      <c r="AP461" s="0" t="s">
        <v>58</v>
      </c>
      <c r="AQ461" s="0" t="s">
        <v>58</v>
      </c>
    </row>
    <row r="462" customFormat="false" ht="14.4" hidden="false" customHeight="false" outlineLevel="0" collapsed="false">
      <c r="A462" s="0" t="n">
        <v>145</v>
      </c>
      <c r="B462" s="0" t="s">
        <v>2219</v>
      </c>
      <c r="C462" s="0" t="s">
        <v>471</v>
      </c>
      <c r="D462" s="0" t="s">
        <v>430</v>
      </c>
      <c r="E462" s="0" t="s">
        <v>2123</v>
      </c>
      <c r="F462" s="0" t="n">
        <v>6561</v>
      </c>
      <c r="G462" s="0" t="s">
        <v>142</v>
      </c>
      <c r="H462" s="0" t="n">
        <v>117</v>
      </c>
      <c r="I462" s="0" t="n">
        <v>0</v>
      </c>
      <c r="J462" s="0" t="n">
        <v>0</v>
      </c>
      <c r="K462" s="0" t="n">
        <v>53</v>
      </c>
      <c r="L462" s="0" t="n">
        <v>296</v>
      </c>
      <c r="M462" s="0" t="n">
        <v>400</v>
      </c>
      <c r="N462" s="0" t="n">
        <v>13</v>
      </c>
      <c r="O462" s="0" t="n">
        <v>0</v>
      </c>
      <c r="P462" s="0" t="n">
        <v>30</v>
      </c>
      <c r="Q462" s="114" t="n">
        <v>44</v>
      </c>
      <c r="R462" s="114" t="n">
        <v>91</v>
      </c>
      <c r="S462" s="114" t="n">
        <v>1.35</v>
      </c>
      <c r="T462" s="114" t="n">
        <v>1.35</v>
      </c>
      <c r="U462" s="114" t="n">
        <v>1.1</v>
      </c>
      <c r="V462" s="0" t="n">
        <v>3</v>
      </c>
      <c r="W462" s="0" t="n">
        <v>3</v>
      </c>
      <c r="X462" s="0" t="n">
        <v>2</v>
      </c>
      <c r="Y462" s="0" t="s">
        <v>2124</v>
      </c>
      <c r="Z462" s="0" t="s">
        <v>2124</v>
      </c>
      <c r="AA462" s="0" t="s">
        <v>2125</v>
      </c>
      <c r="AB462" s="0" t="s">
        <v>58</v>
      </c>
      <c r="AC462" s="0" t="s">
        <v>58</v>
      </c>
      <c r="AD462" s="0" t="s">
        <v>58</v>
      </c>
      <c r="AE462" s="0" t="s">
        <v>58</v>
      </c>
      <c r="AF462" s="0" t="s">
        <v>58</v>
      </c>
      <c r="AG462" s="0" t="s">
        <v>58</v>
      </c>
      <c r="AH462" s="0" t="s">
        <v>58</v>
      </c>
      <c r="AI462" s="0" t="s">
        <v>58</v>
      </c>
      <c r="AJ462" s="0" t="s">
        <v>2220</v>
      </c>
      <c r="AK462" s="0" t="s">
        <v>58</v>
      </c>
      <c r="AL462" s="0" t="s">
        <v>58</v>
      </c>
      <c r="AM462" s="0" t="s">
        <v>58</v>
      </c>
      <c r="AN462" s="0" t="s">
        <v>2221</v>
      </c>
      <c r="AO462" s="0" t="s">
        <v>58</v>
      </c>
      <c r="AP462" s="0" t="s">
        <v>58</v>
      </c>
      <c r="AQ462" s="0" t="s">
        <v>58</v>
      </c>
    </row>
    <row r="463" customFormat="false" ht="14.4" hidden="false" customHeight="false" outlineLevel="0" collapsed="false">
      <c r="B463" s="0" t="s">
        <v>2222</v>
      </c>
      <c r="C463" s="0" t="s">
        <v>437</v>
      </c>
      <c r="D463" s="0" t="s">
        <v>430</v>
      </c>
      <c r="E463" s="0" t="s">
        <v>2123</v>
      </c>
      <c r="F463" s="0" t="n">
        <v>6634</v>
      </c>
      <c r="G463" s="0" t="s">
        <v>140</v>
      </c>
      <c r="H463" s="0" t="n">
        <v>131</v>
      </c>
      <c r="I463" s="0" t="n">
        <v>0</v>
      </c>
      <c r="J463" s="0" t="n">
        <v>0</v>
      </c>
      <c r="K463" s="0" t="n">
        <v>54</v>
      </c>
      <c r="L463" s="0" t="n">
        <v>331</v>
      </c>
      <c r="M463" s="0" t="n">
        <v>430</v>
      </c>
      <c r="N463" s="0" t="n">
        <v>13</v>
      </c>
      <c r="O463" s="0" t="n">
        <v>0</v>
      </c>
      <c r="P463" s="0" t="n">
        <v>33</v>
      </c>
      <c r="Q463" s="0" t="n">
        <v>68</v>
      </c>
      <c r="R463" s="0" t="n">
        <v>85</v>
      </c>
      <c r="S463" s="114" t="n">
        <v>1.4</v>
      </c>
      <c r="T463" s="114" t="n">
        <v>1.3</v>
      </c>
      <c r="U463" s="114" t="n">
        <v>1.2</v>
      </c>
      <c r="V463" s="0" t="n">
        <v>3</v>
      </c>
      <c r="W463" s="0" t="n">
        <v>3</v>
      </c>
      <c r="X463" s="0" t="n">
        <v>2</v>
      </c>
      <c r="Y463" s="0" t="s">
        <v>2124</v>
      </c>
      <c r="Z463" s="0" t="s">
        <v>1858</v>
      </c>
      <c r="AA463" s="0" t="s">
        <v>2125</v>
      </c>
      <c r="AB463" s="0" t="s">
        <v>2223</v>
      </c>
      <c r="AC463" s="0" t="s">
        <v>2224</v>
      </c>
    </row>
    <row r="464" customFormat="false" ht="14.4" hidden="false" customHeight="false" outlineLevel="0" collapsed="false">
      <c r="A464" s="0" t="n">
        <v>225</v>
      </c>
      <c r="B464" s="0" t="s">
        <v>2225</v>
      </c>
      <c r="C464" s="0" t="s">
        <v>429</v>
      </c>
      <c r="D464" s="0" t="s">
        <v>430</v>
      </c>
      <c r="E464" s="0" t="s">
        <v>2123</v>
      </c>
      <c r="F464" s="0" t="n">
        <v>6771</v>
      </c>
      <c r="G464" s="0" t="s">
        <v>140</v>
      </c>
      <c r="H464" s="0" t="n">
        <v>131</v>
      </c>
      <c r="I464" s="0" t="n">
        <v>0</v>
      </c>
      <c r="J464" s="0" t="n">
        <v>0</v>
      </c>
      <c r="K464" s="0" t="n">
        <v>49</v>
      </c>
      <c r="L464" s="0" t="n">
        <v>323</v>
      </c>
      <c r="M464" s="0" t="n">
        <v>408</v>
      </c>
      <c r="N464" s="0" t="n">
        <v>13</v>
      </c>
      <c r="O464" s="0" t="n">
        <v>0</v>
      </c>
      <c r="P464" s="0" t="n">
        <v>28</v>
      </c>
      <c r="Q464" s="114" t="n">
        <v>42</v>
      </c>
      <c r="R464" s="114" t="n">
        <v>90</v>
      </c>
      <c r="S464" s="114" t="n">
        <v>1.1</v>
      </c>
      <c r="T464" s="114" t="n">
        <v>1.1</v>
      </c>
      <c r="U464" s="114" t="n">
        <v>1.5</v>
      </c>
      <c r="V464" s="0" t="n">
        <v>3</v>
      </c>
      <c r="W464" s="0" t="n">
        <v>2</v>
      </c>
      <c r="X464" s="0" t="n">
        <v>3</v>
      </c>
      <c r="Y464" s="0" t="s">
        <v>2124</v>
      </c>
      <c r="Z464" s="0" t="s">
        <v>1858</v>
      </c>
      <c r="AA464" s="0" t="s">
        <v>2125</v>
      </c>
      <c r="AB464" s="0" t="s">
        <v>58</v>
      </c>
      <c r="AC464" s="0" t="s">
        <v>58</v>
      </c>
      <c r="AD464" s="0" t="s">
        <v>58</v>
      </c>
      <c r="AE464" s="0" t="s">
        <v>58</v>
      </c>
      <c r="AF464" s="0" t="s">
        <v>58</v>
      </c>
      <c r="AG464" s="0" t="s">
        <v>58</v>
      </c>
      <c r="AH464" s="0" t="s">
        <v>58</v>
      </c>
      <c r="AI464" s="0" t="s">
        <v>58</v>
      </c>
      <c r="AJ464" s="0" t="s">
        <v>2126</v>
      </c>
      <c r="AK464" s="0" t="s">
        <v>2226</v>
      </c>
      <c r="AL464" s="0" t="s">
        <v>58</v>
      </c>
      <c r="AM464" s="0" t="s">
        <v>58</v>
      </c>
      <c r="AN464" s="0" t="s">
        <v>2128</v>
      </c>
      <c r="AO464" s="0" t="s">
        <v>2227</v>
      </c>
      <c r="AP464" s="0" t="s">
        <v>58</v>
      </c>
      <c r="AQ464" s="0" t="s">
        <v>58</v>
      </c>
    </row>
    <row r="465" customFormat="false" ht="14.4" hidden="false" customHeight="false" outlineLevel="0" collapsed="false">
      <c r="A465" s="0" t="n">
        <v>73</v>
      </c>
      <c r="B465" s="0" t="s">
        <v>2228</v>
      </c>
      <c r="C465" s="0" t="s">
        <v>437</v>
      </c>
      <c r="D465" s="0" t="s">
        <v>438</v>
      </c>
      <c r="E465" s="0" t="s">
        <v>2123</v>
      </c>
      <c r="F465" s="0" t="n">
        <v>6912</v>
      </c>
      <c r="G465" s="0" t="s">
        <v>140</v>
      </c>
      <c r="H465" s="0" t="n">
        <v>110</v>
      </c>
      <c r="I465" s="0" t="n">
        <v>0</v>
      </c>
      <c r="J465" s="0" t="n">
        <v>0</v>
      </c>
      <c r="K465" s="0" t="n">
        <v>57</v>
      </c>
      <c r="L465" s="0" t="n">
        <v>303</v>
      </c>
      <c r="M465" s="0" t="n">
        <v>397</v>
      </c>
      <c r="N465" s="0" t="n">
        <v>12</v>
      </c>
      <c r="O465" s="0" t="n">
        <v>0</v>
      </c>
      <c r="P465" s="0" t="n">
        <v>33</v>
      </c>
      <c r="Q465" s="114" t="n">
        <v>35</v>
      </c>
      <c r="R465" s="114" t="n">
        <v>92</v>
      </c>
      <c r="S465" s="114" t="n">
        <v>1.2</v>
      </c>
      <c r="T465" s="114" t="n">
        <v>1.3</v>
      </c>
      <c r="U465" s="114" t="n">
        <v>1.3</v>
      </c>
      <c r="V465" s="0" t="n">
        <v>2</v>
      </c>
      <c r="W465" s="0" t="n">
        <v>3</v>
      </c>
      <c r="X465" s="0" t="n">
        <v>3</v>
      </c>
      <c r="Y465" s="0" t="s">
        <v>2124</v>
      </c>
      <c r="Z465" s="0" t="s">
        <v>1858</v>
      </c>
      <c r="AA465" s="0" t="s">
        <v>1858</v>
      </c>
      <c r="AB465" s="0" t="s">
        <v>2229</v>
      </c>
      <c r="AC465" s="0" t="s">
        <v>58</v>
      </c>
      <c r="AD465" s="0" t="s">
        <v>58</v>
      </c>
      <c r="AE465" s="0" t="s">
        <v>58</v>
      </c>
      <c r="AF465" s="0" t="s">
        <v>58</v>
      </c>
      <c r="AG465" s="0" t="s">
        <v>58</v>
      </c>
      <c r="AH465" s="0" t="s">
        <v>58</v>
      </c>
      <c r="AI465" s="0" t="s">
        <v>58</v>
      </c>
      <c r="AJ465" s="0" t="s">
        <v>2230</v>
      </c>
      <c r="AK465" s="0" t="s">
        <v>2231</v>
      </c>
      <c r="AL465" s="0" t="s">
        <v>58</v>
      </c>
      <c r="AM465" s="0" t="s">
        <v>58</v>
      </c>
      <c r="AN465" s="0" t="s">
        <v>2232</v>
      </c>
      <c r="AO465" s="0" t="s">
        <v>2191</v>
      </c>
      <c r="AP465" s="0" t="s">
        <v>58</v>
      </c>
      <c r="AQ465" s="0" t="s">
        <v>58</v>
      </c>
    </row>
    <row r="466" customFormat="false" ht="14.4" hidden="false" customHeight="false" outlineLevel="0" collapsed="false">
      <c r="A466" s="0" t="n">
        <v>384</v>
      </c>
      <c r="B466" s="0" t="s">
        <v>2233</v>
      </c>
      <c r="C466" s="0" t="s">
        <v>1065</v>
      </c>
      <c r="D466" s="0" t="s">
        <v>438</v>
      </c>
      <c r="E466" s="0" t="s">
        <v>2123</v>
      </c>
      <c r="F466" s="0" t="n">
        <v>6250</v>
      </c>
      <c r="G466" s="0" t="s">
        <v>140</v>
      </c>
      <c r="H466" s="0" t="n">
        <v>124</v>
      </c>
      <c r="I466" s="0" t="n">
        <v>0</v>
      </c>
      <c r="J466" s="0" t="n">
        <v>0</v>
      </c>
      <c r="K466" s="0" t="n">
        <v>54</v>
      </c>
      <c r="L466" s="0" t="n">
        <v>311</v>
      </c>
      <c r="M466" s="0" t="n">
        <v>394</v>
      </c>
      <c r="N466" s="0" t="n">
        <v>12</v>
      </c>
      <c r="O466" s="0" t="n">
        <v>0</v>
      </c>
      <c r="P466" s="0" t="n">
        <v>31</v>
      </c>
      <c r="Q466" s="0" t="n">
        <v>42</v>
      </c>
      <c r="R466" s="0" t="n">
        <v>90</v>
      </c>
      <c r="S466" s="114" t="n">
        <v>1.25</v>
      </c>
      <c r="T466" s="114" t="n">
        <v>1.15</v>
      </c>
      <c r="U466" s="114" t="n">
        <v>1.25</v>
      </c>
      <c r="V466" s="0" t="n">
        <v>3</v>
      </c>
      <c r="W466" s="0" t="n">
        <v>2</v>
      </c>
      <c r="X466" s="0" t="n">
        <v>3</v>
      </c>
      <c r="Y466" s="0" t="s">
        <v>2124</v>
      </c>
      <c r="Z466" s="0" t="s">
        <v>1858</v>
      </c>
      <c r="AA466" s="0" t="s">
        <v>2125</v>
      </c>
      <c r="AB466" s="0" t="s">
        <v>2234</v>
      </c>
      <c r="AC466" s="0" t="s">
        <v>2235</v>
      </c>
      <c r="AD466" s="0" t="s">
        <v>58</v>
      </c>
      <c r="AE466" s="0" t="s">
        <v>58</v>
      </c>
      <c r="AF466" s="0" t="s">
        <v>58</v>
      </c>
      <c r="AG466" s="0" t="s">
        <v>58</v>
      </c>
      <c r="AH466" s="0" t="s">
        <v>58</v>
      </c>
      <c r="AI466" s="0" t="s">
        <v>58</v>
      </c>
      <c r="AJ466" s="0" t="s">
        <v>2236</v>
      </c>
      <c r="AK466" s="0" t="s">
        <v>2237</v>
      </c>
      <c r="AL466" s="0" t="s">
        <v>58</v>
      </c>
      <c r="AM466" s="0" t="s">
        <v>58</v>
      </c>
      <c r="AN466" s="0" t="s">
        <v>2238</v>
      </c>
      <c r="AO466" s="0" t="s">
        <v>2239</v>
      </c>
      <c r="AP466" s="0" t="s">
        <v>58</v>
      </c>
      <c r="AQ466" s="0" t="s">
        <v>58</v>
      </c>
    </row>
    <row r="467" customFormat="false" ht="14.4" hidden="false" customHeight="false" outlineLevel="0" collapsed="false">
      <c r="B467" s="0" t="s">
        <v>2240</v>
      </c>
      <c r="C467" s="0" t="s">
        <v>471</v>
      </c>
      <c r="D467" s="0" t="s">
        <v>438</v>
      </c>
      <c r="E467" s="0" t="s">
        <v>2123</v>
      </c>
      <c r="F467" s="0" t="n">
        <v>5946</v>
      </c>
      <c r="G467" s="0" t="s">
        <v>142</v>
      </c>
      <c r="H467" s="0" t="n">
        <v>110</v>
      </c>
      <c r="I467" s="0" t="n">
        <v>0</v>
      </c>
      <c r="J467" s="0" t="n">
        <v>0</v>
      </c>
      <c r="K467" s="0" t="n">
        <v>53</v>
      </c>
      <c r="L467" s="0" t="n">
        <v>266</v>
      </c>
      <c r="M467" s="0" t="n">
        <v>380</v>
      </c>
      <c r="N467" s="0" t="n">
        <v>12</v>
      </c>
      <c r="O467" s="0" t="n">
        <v>0</v>
      </c>
      <c r="P467" s="0" t="n">
        <v>30</v>
      </c>
      <c r="Q467" s="0" t="n">
        <v>44</v>
      </c>
      <c r="R467" s="0" t="n">
        <v>85</v>
      </c>
      <c r="S467" s="114" t="n">
        <v>1.25</v>
      </c>
      <c r="T467" s="114" t="n">
        <v>1.25</v>
      </c>
      <c r="U467" s="114" t="n">
        <v>1.2</v>
      </c>
      <c r="V467" s="0" t="n">
        <v>3</v>
      </c>
      <c r="W467" s="0" t="n">
        <v>3</v>
      </c>
      <c r="X467" s="0" t="n">
        <v>2</v>
      </c>
      <c r="Y467" s="0" t="s">
        <v>2124</v>
      </c>
      <c r="Z467" s="0" t="s">
        <v>2124</v>
      </c>
      <c r="AA467" s="0" t="s">
        <v>2125</v>
      </c>
      <c r="AB467" s="0" t="s">
        <v>2241</v>
      </c>
      <c r="AC467" s="0" t="s">
        <v>2242</v>
      </c>
    </row>
    <row r="468" customFormat="false" ht="14.4" hidden="false" customHeight="false" outlineLevel="0" collapsed="false">
      <c r="A468" s="0" t="n">
        <v>385</v>
      </c>
      <c r="B468" s="0" t="s">
        <v>2243</v>
      </c>
      <c r="C468" s="0" t="s">
        <v>1065</v>
      </c>
      <c r="D468" s="0" t="s">
        <v>438</v>
      </c>
      <c r="E468" s="0" t="s">
        <v>2123</v>
      </c>
      <c r="F468" s="0" t="n">
        <v>6983</v>
      </c>
      <c r="G468" s="0" t="s">
        <v>140</v>
      </c>
      <c r="H468" s="0" t="n">
        <v>110</v>
      </c>
      <c r="I468" s="0" t="n">
        <f aca="false">174+3*80</f>
        <v>414</v>
      </c>
      <c r="J468" s="0" t="n">
        <v>0</v>
      </c>
      <c r="K468" s="0" t="n">
        <v>56</v>
      </c>
      <c r="L468" s="0" t="n">
        <v>307</v>
      </c>
      <c r="M468" s="0" t="n">
        <v>376</v>
      </c>
      <c r="N468" s="0" t="n">
        <v>12</v>
      </c>
      <c r="O468" s="0" t="n">
        <v>0</v>
      </c>
      <c r="P468" s="0" t="n">
        <v>33</v>
      </c>
      <c r="Q468" s="0" t="n">
        <v>45</v>
      </c>
      <c r="R468" s="0" t="n">
        <v>85</v>
      </c>
      <c r="S468" s="114" t="n">
        <v>1.15</v>
      </c>
      <c r="T468" s="114" t="n">
        <v>1.3</v>
      </c>
      <c r="U468" s="114" t="n">
        <v>1</v>
      </c>
      <c r="V468" s="0" t="n">
        <v>3</v>
      </c>
      <c r="W468" s="0" t="n">
        <v>3</v>
      </c>
      <c r="X468" s="0" t="n">
        <v>3</v>
      </c>
      <c r="Y468" s="0" t="s">
        <v>2124</v>
      </c>
      <c r="Z468" s="0" t="s">
        <v>1858</v>
      </c>
      <c r="AA468" s="0" t="s">
        <v>1858</v>
      </c>
      <c r="AB468" s="0" t="s">
        <v>2244</v>
      </c>
      <c r="AC468" s="0" t="s">
        <v>2245</v>
      </c>
      <c r="AD468" s="0" t="s">
        <v>2246</v>
      </c>
      <c r="AE468" s="0" t="s">
        <v>58</v>
      </c>
      <c r="AF468" s="0" t="s">
        <v>58</v>
      </c>
      <c r="AG468" s="0" t="s">
        <v>58</v>
      </c>
      <c r="AH468" s="0" t="s">
        <v>58</v>
      </c>
      <c r="AI468" s="0" t="s">
        <v>58</v>
      </c>
      <c r="AJ468" s="0" t="s">
        <v>2247</v>
      </c>
      <c r="AK468" s="0" t="s">
        <v>2248</v>
      </c>
      <c r="AL468" s="0" t="s">
        <v>58</v>
      </c>
      <c r="AM468" s="0" t="s">
        <v>58</v>
      </c>
      <c r="AN468" s="0" t="s">
        <v>2249</v>
      </c>
      <c r="AO468" s="0" t="s">
        <v>2250</v>
      </c>
      <c r="AP468" s="0" t="s">
        <v>58</v>
      </c>
      <c r="AQ468" s="0" t="s">
        <v>58</v>
      </c>
    </row>
    <row r="469" customFormat="false" ht="14.4" hidden="false" customHeight="false" outlineLevel="0" collapsed="false">
      <c r="A469" s="0" t="s">
        <v>2251</v>
      </c>
      <c r="B469" s="0" t="s">
        <v>2252</v>
      </c>
      <c r="C469" s="0" t="s">
        <v>925</v>
      </c>
      <c r="D469" s="0" t="s">
        <v>438</v>
      </c>
      <c r="E469" s="0" t="s">
        <v>2123</v>
      </c>
      <c r="F469" s="0" t="n">
        <v>6373</v>
      </c>
      <c r="G469" s="0" t="s">
        <v>140</v>
      </c>
      <c r="H469" s="0" t="n">
        <v>117</v>
      </c>
      <c r="I469" s="0" t="n">
        <v>0</v>
      </c>
      <c r="J469" s="0" t="n">
        <v>0</v>
      </c>
      <c r="K469" s="0" t="n">
        <v>47</v>
      </c>
      <c r="L469" s="0" t="n">
        <v>288</v>
      </c>
      <c r="M469" s="0" t="n">
        <v>374</v>
      </c>
      <c r="N469" s="0" t="n">
        <v>12</v>
      </c>
      <c r="O469" s="0" t="n">
        <v>0</v>
      </c>
      <c r="P469" s="0" t="n">
        <v>26</v>
      </c>
      <c r="Q469" s="0" t="n">
        <v>53</v>
      </c>
      <c r="R469" s="0" t="n">
        <v>100</v>
      </c>
      <c r="S469" s="114" t="n">
        <v>1.4</v>
      </c>
      <c r="T469" s="114" t="n">
        <v>1.15</v>
      </c>
      <c r="U469" s="114" t="n">
        <v>1.15</v>
      </c>
      <c r="V469" s="0" t="n">
        <v>3</v>
      </c>
      <c r="W469" s="0" t="n">
        <v>2</v>
      </c>
      <c r="X469" s="0" t="n">
        <v>3</v>
      </c>
      <c r="Y469" s="0" t="s">
        <v>2124</v>
      </c>
      <c r="Z469" s="0" t="s">
        <v>1858</v>
      </c>
      <c r="AA469" s="0" t="s">
        <v>2125</v>
      </c>
      <c r="AB469" s="0" t="s">
        <v>2253</v>
      </c>
      <c r="AC469" s="0" t="s">
        <v>2254</v>
      </c>
      <c r="AD469" s="0" t="s">
        <v>58</v>
      </c>
      <c r="AE469" s="0" t="s">
        <v>58</v>
      </c>
      <c r="AF469" s="0" t="s">
        <v>58</v>
      </c>
      <c r="AG469" s="0" t="s">
        <v>58</v>
      </c>
      <c r="AH469" s="0" t="s">
        <v>58</v>
      </c>
      <c r="AI469" s="0" t="s">
        <v>58</v>
      </c>
      <c r="AJ469" s="0" t="s">
        <v>2255</v>
      </c>
      <c r="AK469" s="162" t="s">
        <v>2256</v>
      </c>
      <c r="AL469" s="0" t="s">
        <v>58</v>
      </c>
      <c r="AM469" s="0" t="s">
        <v>58</v>
      </c>
      <c r="AN469" s="0" t="s">
        <v>2257</v>
      </c>
      <c r="AO469" s="0" t="s">
        <v>2258</v>
      </c>
      <c r="AP469" s="0" t="s">
        <v>58</v>
      </c>
      <c r="AQ469" s="0" t="s">
        <v>58</v>
      </c>
    </row>
    <row r="470" customFormat="false" ht="14.4" hidden="false" customHeight="false" outlineLevel="0" collapsed="false">
      <c r="B470" s="0" t="s">
        <v>2259</v>
      </c>
      <c r="C470" s="0" t="s">
        <v>1065</v>
      </c>
      <c r="D470" s="0" t="s">
        <v>430</v>
      </c>
      <c r="E470" s="0" t="s">
        <v>2123</v>
      </c>
      <c r="F470" s="0" t="n">
        <v>7488</v>
      </c>
      <c r="G470" s="0" t="s">
        <v>140</v>
      </c>
      <c r="H470" s="0" t="n">
        <v>139</v>
      </c>
      <c r="I470" s="0" t="n">
        <v>0</v>
      </c>
      <c r="J470" s="0" t="n">
        <v>0</v>
      </c>
      <c r="K470" s="0" t="n">
        <v>50</v>
      </c>
      <c r="L470" s="0" t="n">
        <v>423</v>
      </c>
      <c r="M470" s="0" t="n">
        <v>309</v>
      </c>
      <c r="N470" s="0" t="n">
        <v>13</v>
      </c>
      <c r="O470" s="0" t="n">
        <v>0</v>
      </c>
      <c r="P470" s="0" t="n">
        <v>33</v>
      </c>
      <c r="Q470" s="0" t="n">
        <v>45</v>
      </c>
      <c r="R470" s="0" t="n">
        <v>101</v>
      </c>
      <c r="S470" s="114" t="n">
        <v>1.2</v>
      </c>
      <c r="T470" s="114" t="n">
        <v>1.3</v>
      </c>
      <c r="U470" s="114" t="n">
        <v>1.4</v>
      </c>
      <c r="V470" s="0" t="n">
        <v>2</v>
      </c>
      <c r="W470" s="0" t="n">
        <v>3</v>
      </c>
      <c r="X470" s="0" t="n">
        <v>3</v>
      </c>
      <c r="Y470" s="0" t="s">
        <v>2124</v>
      </c>
      <c r="Z470" s="0" t="s">
        <v>1858</v>
      </c>
      <c r="AA470" s="0" t="s">
        <v>2125</v>
      </c>
      <c r="AB470" s="0" t="s">
        <v>2260</v>
      </c>
      <c r="AC470" s="0" t="s">
        <v>58</v>
      </c>
      <c r="AD470" s="0" t="s">
        <v>58</v>
      </c>
      <c r="AE470" s="0" t="s">
        <v>58</v>
      </c>
      <c r="AF470" s="0" t="s">
        <v>58</v>
      </c>
      <c r="AG470" s="0" t="s">
        <v>58</v>
      </c>
      <c r="AH470" s="0" t="s">
        <v>58</v>
      </c>
      <c r="AI470" s="0" t="s">
        <v>58</v>
      </c>
    </row>
    <row r="471" customFormat="false" ht="14.4" hidden="false" customHeight="false" outlineLevel="0" collapsed="false">
      <c r="A471" s="0" t="n">
        <v>74</v>
      </c>
      <c r="B471" s="0" t="s">
        <v>2261</v>
      </c>
      <c r="C471" s="0" t="s">
        <v>437</v>
      </c>
      <c r="D471" s="0" t="s">
        <v>438</v>
      </c>
      <c r="E471" s="0" t="s">
        <v>2123</v>
      </c>
      <c r="F471" s="0" t="n">
        <v>6912</v>
      </c>
      <c r="G471" s="0" t="s">
        <v>140</v>
      </c>
      <c r="H471" s="0" t="n">
        <v>110</v>
      </c>
      <c r="I471" s="0" t="n">
        <v>0</v>
      </c>
      <c r="J471" s="0" t="n">
        <v>0</v>
      </c>
      <c r="K471" s="0" t="n">
        <v>57</v>
      </c>
      <c r="L471" s="0" t="n">
        <v>303</v>
      </c>
      <c r="M471" s="0" t="n">
        <v>397</v>
      </c>
      <c r="N471" s="0" t="n">
        <v>12</v>
      </c>
      <c r="O471" s="0" t="n">
        <v>0</v>
      </c>
      <c r="P471" s="0" t="n">
        <v>33</v>
      </c>
      <c r="Q471" s="114" t="n">
        <v>66</v>
      </c>
      <c r="R471" s="114" t="n">
        <v>92</v>
      </c>
      <c r="S471" s="114" t="n">
        <v>1.2</v>
      </c>
      <c r="T471" s="114" t="n">
        <v>1.3</v>
      </c>
      <c r="U471" s="114" t="n">
        <v>1.3</v>
      </c>
      <c r="V471" s="0" t="n">
        <v>2</v>
      </c>
      <c r="W471" s="0" t="n">
        <v>3</v>
      </c>
      <c r="X471" s="0" t="n">
        <v>3</v>
      </c>
      <c r="Y471" s="0" t="s">
        <v>2124</v>
      </c>
      <c r="Z471" s="0" t="s">
        <v>1858</v>
      </c>
      <c r="AA471" s="0" t="s">
        <v>1858</v>
      </c>
      <c r="AB471" s="0" t="s">
        <v>2229</v>
      </c>
      <c r="AC471" s="0" t="s">
        <v>58</v>
      </c>
      <c r="AD471" s="0" t="s">
        <v>58</v>
      </c>
      <c r="AE471" s="0" t="s">
        <v>58</v>
      </c>
      <c r="AF471" s="0" t="s">
        <v>58</v>
      </c>
      <c r="AG471" s="0" t="s">
        <v>58</v>
      </c>
      <c r="AH471" s="0" t="s">
        <v>58</v>
      </c>
      <c r="AI471" s="0" t="s">
        <v>58</v>
      </c>
      <c r="AJ471" s="0" t="s">
        <v>2262</v>
      </c>
      <c r="AK471" s="0" t="s">
        <v>2263</v>
      </c>
      <c r="AL471" s="0" t="s">
        <v>58</v>
      </c>
      <c r="AM471" s="0" t="s">
        <v>58</v>
      </c>
      <c r="AN471" s="0" t="s">
        <v>2232</v>
      </c>
      <c r="AO471" s="0" t="s">
        <v>2191</v>
      </c>
      <c r="AP471" s="0" t="s">
        <v>58</v>
      </c>
      <c r="AQ471" s="0" t="s">
        <v>58</v>
      </c>
    </row>
    <row r="472" customFormat="false" ht="14.4" hidden="false" customHeight="false" outlineLevel="0" collapsed="false">
      <c r="A472" s="0" t="n">
        <v>3074</v>
      </c>
      <c r="B472" s="0" t="s">
        <v>2264</v>
      </c>
      <c r="C472" s="0" t="s">
        <v>437</v>
      </c>
      <c r="D472" s="0" t="s">
        <v>430</v>
      </c>
      <c r="E472" s="0" t="s">
        <v>2123</v>
      </c>
      <c r="F472" s="0" t="n">
        <v>7122</v>
      </c>
      <c r="G472" s="0" t="s">
        <v>140</v>
      </c>
      <c r="H472" s="0" t="n">
        <v>130</v>
      </c>
      <c r="I472" s="0" t="n">
        <v>0</v>
      </c>
      <c r="J472" s="0" t="n">
        <v>0</v>
      </c>
      <c r="K472" s="0" t="n">
        <v>57</v>
      </c>
      <c r="L472" s="0" t="n">
        <v>353</v>
      </c>
      <c r="M472" s="0" t="n">
        <v>442</v>
      </c>
      <c r="N472" s="0" t="n">
        <v>12</v>
      </c>
      <c r="O472" s="0" t="n">
        <v>0</v>
      </c>
      <c r="P472" s="0" t="n">
        <v>33</v>
      </c>
      <c r="Q472" s="114" t="n">
        <v>66</v>
      </c>
      <c r="R472" s="114" t="n">
        <v>92</v>
      </c>
      <c r="S472" s="114" t="n">
        <v>1.25</v>
      </c>
      <c r="T472" s="114" t="n">
        <v>1.4</v>
      </c>
      <c r="U472" s="114" t="n">
        <v>1.4</v>
      </c>
      <c r="V472" s="0" t="n">
        <v>2</v>
      </c>
      <c r="W472" s="0" t="n">
        <v>3</v>
      </c>
      <c r="X472" s="0" t="n">
        <v>3</v>
      </c>
      <c r="Y472" s="0" t="s">
        <v>2124</v>
      </c>
      <c r="Z472" s="0" t="s">
        <v>1858</v>
      </c>
      <c r="AA472" s="0" t="s">
        <v>1858</v>
      </c>
      <c r="AB472" s="0" t="s">
        <v>2229</v>
      </c>
      <c r="AC472" s="0" t="s">
        <v>2265</v>
      </c>
      <c r="AD472" s="0" t="s">
        <v>2266</v>
      </c>
      <c r="AE472" s="0" t="s">
        <v>2267</v>
      </c>
      <c r="AF472" s="0" t="s">
        <v>58</v>
      </c>
      <c r="AG472" s="0" t="s">
        <v>58</v>
      </c>
      <c r="AH472" s="0" t="s">
        <v>58</v>
      </c>
      <c r="AI472" s="0" t="s">
        <v>58</v>
      </c>
      <c r="AJ472" s="0" t="s">
        <v>2262</v>
      </c>
      <c r="AK472" s="0" t="s">
        <v>2263</v>
      </c>
      <c r="AL472" s="0" t="s">
        <v>2268</v>
      </c>
      <c r="AM472" s="0" t="s">
        <v>58</v>
      </c>
      <c r="AN472" s="0" t="s">
        <v>2232</v>
      </c>
      <c r="AO472" s="0" t="s">
        <v>2191</v>
      </c>
      <c r="AP472" s="0" t="s">
        <v>2269</v>
      </c>
      <c r="AQ472" s="0" t="s">
        <v>58</v>
      </c>
    </row>
    <row r="473" customFormat="false" ht="14.4" hidden="false" customHeight="false" outlineLevel="0" collapsed="false">
      <c r="A473" s="0" t="n">
        <v>378</v>
      </c>
      <c r="B473" s="0" t="s">
        <v>2270</v>
      </c>
      <c r="C473" s="0" t="s">
        <v>437</v>
      </c>
      <c r="D473" s="0" t="s">
        <v>430</v>
      </c>
      <c r="E473" s="0" t="s">
        <v>2123</v>
      </c>
      <c r="F473" s="0" t="n">
        <v>6647</v>
      </c>
      <c r="G473" s="0" t="s">
        <v>140</v>
      </c>
      <c r="H473" s="0" t="n">
        <v>131</v>
      </c>
      <c r="I473" s="0" t="n">
        <v>0</v>
      </c>
      <c r="J473" s="0" t="n">
        <v>0</v>
      </c>
      <c r="K473" s="0" t="n">
        <v>54</v>
      </c>
      <c r="L473" s="0" t="n">
        <v>331</v>
      </c>
      <c r="M473" s="0" t="n">
        <v>430</v>
      </c>
      <c r="N473" s="0" t="n">
        <v>13</v>
      </c>
      <c r="O473" s="0" t="n">
        <v>0</v>
      </c>
      <c r="P473" s="0" t="n">
        <v>33</v>
      </c>
      <c r="Q473" s="114" t="n">
        <v>83</v>
      </c>
      <c r="R473" s="114" t="n">
        <v>91</v>
      </c>
      <c r="S473" s="114" t="n">
        <v>1.4</v>
      </c>
      <c r="T473" s="114" t="n">
        <v>1.3</v>
      </c>
      <c r="U473" s="114" t="n">
        <v>1.15</v>
      </c>
      <c r="V473" s="0" t="n">
        <v>3</v>
      </c>
      <c r="W473" s="0" t="n">
        <v>3</v>
      </c>
      <c r="X473" s="0" t="n">
        <v>2</v>
      </c>
      <c r="Y473" s="0" t="s">
        <v>2124</v>
      </c>
      <c r="Z473" s="0" t="s">
        <v>1858</v>
      </c>
      <c r="AA473" s="0" t="s">
        <v>2125</v>
      </c>
      <c r="AB473" s="0" t="s">
        <v>2271</v>
      </c>
      <c r="AC473" s="0" t="s">
        <v>58</v>
      </c>
      <c r="AD473" s="0" t="s">
        <v>58</v>
      </c>
      <c r="AE473" s="0" t="s">
        <v>58</v>
      </c>
      <c r="AF473" s="0" t="s">
        <v>58</v>
      </c>
      <c r="AG473" s="0" t="s">
        <v>58</v>
      </c>
      <c r="AH473" s="0" t="s">
        <v>58</v>
      </c>
      <c r="AI473" s="0" t="s">
        <v>58</v>
      </c>
      <c r="AJ473" s="0" t="s">
        <v>2272</v>
      </c>
      <c r="AK473" s="0" t="s">
        <v>2273</v>
      </c>
      <c r="AL473" s="0" t="s">
        <v>58</v>
      </c>
      <c r="AM473" s="0" t="s">
        <v>58</v>
      </c>
      <c r="AN473" s="0" t="s">
        <v>2274</v>
      </c>
      <c r="AO473" s="0" t="s">
        <v>2275</v>
      </c>
      <c r="AP473" s="0" t="s">
        <v>58</v>
      </c>
      <c r="AQ473" s="0" t="s">
        <v>58</v>
      </c>
    </row>
    <row r="474" customFormat="false" ht="14.4" hidden="false" customHeight="false" outlineLevel="0" collapsed="false">
      <c r="A474" s="0" t="n">
        <v>231</v>
      </c>
      <c r="B474" s="0" t="s">
        <v>2276</v>
      </c>
      <c r="C474" s="0" t="s">
        <v>429</v>
      </c>
      <c r="D474" s="0" t="s">
        <v>2277</v>
      </c>
      <c r="E474" s="0" t="s">
        <v>2123</v>
      </c>
      <c r="F474" s="0" t="n">
        <v>8616</v>
      </c>
      <c r="G474" s="0" t="s">
        <v>142</v>
      </c>
      <c r="H474" s="0" t="n">
        <v>126</v>
      </c>
      <c r="I474" s="0" t="n">
        <v>0</v>
      </c>
      <c r="J474" s="0" t="n">
        <v>0</v>
      </c>
      <c r="K474" s="0" t="n">
        <v>49</v>
      </c>
      <c r="L474" s="0" t="n">
        <v>317</v>
      </c>
      <c r="M474" s="0" t="n">
        <v>437</v>
      </c>
      <c r="N474" s="0" t="n">
        <v>15</v>
      </c>
      <c r="O474" s="0" t="n">
        <v>0</v>
      </c>
      <c r="P474" s="0" t="n">
        <v>28</v>
      </c>
      <c r="Q474" s="0" t="n">
        <v>32</v>
      </c>
      <c r="R474" s="0" t="n">
        <v>78</v>
      </c>
      <c r="S474" s="114" t="n">
        <v>1.25</v>
      </c>
      <c r="T474" s="114" t="n">
        <v>1.3</v>
      </c>
      <c r="U474" s="114" t="n">
        <v>1.4</v>
      </c>
      <c r="V474" s="0" t="n">
        <v>2</v>
      </c>
      <c r="W474" s="0" t="n">
        <v>3</v>
      </c>
      <c r="X474" s="0" t="n">
        <v>4</v>
      </c>
      <c r="Y474" s="0" t="s">
        <v>2124</v>
      </c>
      <c r="Z474" s="0" t="s">
        <v>1858</v>
      </c>
      <c r="AA474" s="0" t="s">
        <v>2125</v>
      </c>
      <c r="AB474" s="0" t="s">
        <v>2278</v>
      </c>
      <c r="AC474" s="0" t="s">
        <v>2279</v>
      </c>
      <c r="AD474" s="0" t="s">
        <v>2280</v>
      </c>
      <c r="AE474" s="0" t="s">
        <v>58</v>
      </c>
      <c r="AF474" s="0" t="s">
        <v>58</v>
      </c>
      <c r="AG474" s="0" t="s">
        <v>58</v>
      </c>
      <c r="AH474" s="0" t="s">
        <v>58</v>
      </c>
      <c r="AI474" s="0" t="s">
        <v>58</v>
      </c>
      <c r="AJ474" s="0" t="s">
        <v>2281</v>
      </c>
      <c r="AK474" s="0" t="s">
        <v>2282</v>
      </c>
      <c r="AL474" s="0" t="s">
        <v>2283</v>
      </c>
      <c r="AM474" s="0" t="s">
        <v>58</v>
      </c>
      <c r="AN474" s="0" t="s">
        <v>2284</v>
      </c>
      <c r="AO474" s="0" t="s">
        <v>2280</v>
      </c>
      <c r="AP474" s="0" t="s">
        <v>2285</v>
      </c>
      <c r="AQ474" s="0" t="s">
        <v>58</v>
      </c>
    </row>
    <row r="475" customFormat="false" ht="14.4" hidden="false" customHeight="false" outlineLevel="0" collapsed="false">
      <c r="A475" s="0" t="n">
        <v>228</v>
      </c>
      <c r="B475" s="0" t="s">
        <v>2286</v>
      </c>
      <c r="C475" s="0" t="s">
        <v>429</v>
      </c>
      <c r="D475" s="0" t="s">
        <v>430</v>
      </c>
      <c r="E475" s="0" t="s">
        <v>2123</v>
      </c>
      <c r="F475" s="0" t="n">
        <v>6729</v>
      </c>
      <c r="G475" s="0" t="s">
        <v>140</v>
      </c>
      <c r="H475" s="0" t="n">
        <v>120</v>
      </c>
      <c r="I475" s="0" t="n">
        <v>0</v>
      </c>
      <c r="J475" s="0" t="n">
        <v>0</v>
      </c>
      <c r="K475" s="0" t="n">
        <v>56</v>
      </c>
      <c r="L475" s="0" t="n">
        <v>349</v>
      </c>
      <c r="M475" s="0" t="n">
        <v>412</v>
      </c>
      <c r="N475" s="0" t="n">
        <v>13</v>
      </c>
      <c r="O475" s="0" t="n">
        <v>0</v>
      </c>
      <c r="P475" s="0" t="n">
        <v>34</v>
      </c>
      <c r="Q475" s="114" t="n">
        <v>49</v>
      </c>
      <c r="R475" s="114" t="n">
        <v>87</v>
      </c>
      <c r="S475" s="114" t="n">
        <v>1.1</v>
      </c>
      <c r="T475" s="114" t="n">
        <v>1.1</v>
      </c>
      <c r="U475" s="114" t="n">
        <v>1.5</v>
      </c>
      <c r="V475" s="0" t="n">
        <v>2</v>
      </c>
      <c r="W475" s="0" t="n">
        <v>2</v>
      </c>
      <c r="X475" s="0" t="n">
        <v>4</v>
      </c>
      <c r="Y475" s="0" t="s">
        <v>2124</v>
      </c>
      <c r="Z475" s="0" t="s">
        <v>1858</v>
      </c>
      <c r="AA475" s="0" t="s">
        <v>2125</v>
      </c>
      <c r="AB475" s="0" t="s">
        <v>58</v>
      </c>
      <c r="AC475" s="0" t="s">
        <v>58</v>
      </c>
      <c r="AD475" s="0" t="s">
        <v>58</v>
      </c>
      <c r="AE475" s="0" t="s">
        <v>58</v>
      </c>
      <c r="AF475" s="0" t="s">
        <v>58</v>
      </c>
      <c r="AG475" s="0" t="s">
        <v>58</v>
      </c>
      <c r="AH475" s="0" t="s">
        <v>58</v>
      </c>
      <c r="AI475" s="0" t="s">
        <v>58</v>
      </c>
      <c r="AJ475" s="0" t="s">
        <v>2287</v>
      </c>
      <c r="AK475" s="0" t="s">
        <v>2288</v>
      </c>
      <c r="AL475" s="0" t="s">
        <v>58</v>
      </c>
      <c r="AM475" s="0" t="s">
        <v>58</v>
      </c>
      <c r="AN475" s="0" t="s">
        <v>2289</v>
      </c>
      <c r="AO475" s="0" t="s">
        <v>2290</v>
      </c>
      <c r="AP475" s="0" t="s">
        <v>58</v>
      </c>
      <c r="AQ475" s="0" t="s">
        <v>58</v>
      </c>
    </row>
    <row r="476" customFormat="false" ht="14.4" hidden="false" customHeight="false" outlineLevel="0" collapsed="false">
      <c r="A476" s="0" t="n">
        <v>226</v>
      </c>
      <c r="B476" s="0" t="s">
        <v>2291</v>
      </c>
      <c r="C476" s="0" t="s">
        <v>429</v>
      </c>
      <c r="D476" s="0" t="s">
        <v>438</v>
      </c>
      <c r="E476" s="0" t="s">
        <v>2123</v>
      </c>
      <c r="F476" s="0" t="n">
        <v>5246</v>
      </c>
      <c r="G476" s="0" t="s">
        <v>140</v>
      </c>
      <c r="H476" s="0" t="n">
        <v>121</v>
      </c>
      <c r="I476" s="0" t="n">
        <v>0</v>
      </c>
      <c r="J476" s="0" t="n">
        <v>0</v>
      </c>
      <c r="K476" s="0" t="n">
        <v>56</v>
      </c>
      <c r="L476" s="0" t="n">
        <v>313</v>
      </c>
      <c r="M476" s="0" t="n">
        <v>390</v>
      </c>
      <c r="N476" s="0" t="n">
        <v>12</v>
      </c>
      <c r="O476" s="0" t="n">
        <v>0</v>
      </c>
      <c r="P476" s="0" t="n">
        <v>34</v>
      </c>
      <c r="Q476" s="114" t="n">
        <v>36</v>
      </c>
      <c r="R476" s="114" t="n">
        <v>85</v>
      </c>
      <c r="S476" s="114" t="n">
        <v>1.1</v>
      </c>
      <c r="T476" s="114" t="n">
        <v>1.5</v>
      </c>
      <c r="U476" s="114" t="n">
        <v>1.1</v>
      </c>
      <c r="V476" s="0" t="n">
        <v>3</v>
      </c>
      <c r="W476" s="0" t="n">
        <v>3</v>
      </c>
      <c r="X476" s="0" t="n">
        <v>2</v>
      </c>
      <c r="Y476" s="0" t="s">
        <v>2124</v>
      </c>
      <c r="Z476" s="0" t="s">
        <v>1858</v>
      </c>
      <c r="AA476" s="0" t="s">
        <v>2125</v>
      </c>
      <c r="AB476" s="0" t="s">
        <v>58</v>
      </c>
      <c r="AC476" s="0" t="s">
        <v>58</v>
      </c>
      <c r="AD476" s="0" t="s">
        <v>58</v>
      </c>
      <c r="AE476" s="0" t="s">
        <v>58</v>
      </c>
      <c r="AF476" s="0" t="s">
        <v>58</v>
      </c>
      <c r="AG476" s="0" t="s">
        <v>58</v>
      </c>
      <c r="AH476" s="0" t="s">
        <v>58</v>
      </c>
      <c r="AI476" s="0" t="s">
        <v>58</v>
      </c>
      <c r="AJ476" s="0" t="s">
        <v>2292</v>
      </c>
      <c r="AK476" s="0" t="s">
        <v>2293</v>
      </c>
      <c r="AL476" s="0" t="s">
        <v>58</v>
      </c>
      <c r="AM476" s="0" t="s">
        <v>58</v>
      </c>
      <c r="AN476" s="0" t="s">
        <v>2191</v>
      </c>
      <c r="AO476" s="0" t="s">
        <v>2294</v>
      </c>
      <c r="AP476" s="0" t="s">
        <v>58</v>
      </c>
      <c r="AQ476" s="0" t="s">
        <v>58</v>
      </c>
    </row>
    <row r="477" customFormat="false" ht="14.4" hidden="false" customHeight="false" outlineLevel="0" collapsed="false">
      <c r="A477" s="0" t="n">
        <v>3226</v>
      </c>
      <c r="B477" s="0" t="s">
        <v>2295</v>
      </c>
      <c r="C477" s="0" t="s">
        <v>429</v>
      </c>
      <c r="D477" s="0" t="s">
        <v>430</v>
      </c>
      <c r="E477" s="0" t="s">
        <v>2123</v>
      </c>
      <c r="F477" s="0" t="n">
        <v>5426</v>
      </c>
      <c r="G477" s="0" t="s">
        <v>140</v>
      </c>
      <c r="H477" s="0" t="n">
        <v>141</v>
      </c>
      <c r="I477" s="0" t="n">
        <v>0</v>
      </c>
      <c r="J477" s="0" t="n">
        <v>0</v>
      </c>
      <c r="K477" s="0" t="n">
        <v>66</v>
      </c>
      <c r="L477" s="0" t="n">
        <v>363</v>
      </c>
      <c r="M477" s="0" t="n">
        <v>425</v>
      </c>
      <c r="N477" s="0" t="n">
        <v>12</v>
      </c>
      <c r="O477" s="0" t="n">
        <v>0</v>
      </c>
      <c r="P477" s="0" t="n">
        <v>34</v>
      </c>
      <c r="Q477" s="114" t="n">
        <v>36</v>
      </c>
      <c r="R477" s="114" t="n">
        <v>85</v>
      </c>
      <c r="S477" s="114" t="n">
        <v>1.25</v>
      </c>
      <c r="T477" s="114" t="n">
        <v>1.5</v>
      </c>
      <c r="U477" s="114" t="n">
        <v>1.15</v>
      </c>
      <c r="V477" s="0" t="n">
        <v>3</v>
      </c>
      <c r="W477" s="0" t="n">
        <v>3</v>
      </c>
      <c r="X477" s="0" t="n">
        <v>2</v>
      </c>
      <c r="Y477" s="0" t="s">
        <v>2124</v>
      </c>
      <c r="Z477" s="0" t="s">
        <v>1858</v>
      </c>
      <c r="AA477" s="0" t="s">
        <v>2125</v>
      </c>
      <c r="AB477" s="161" t="s">
        <v>2296</v>
      </c>
      <c r="AC477" s="161" t="s">
        <v>2297</v>
      </c>
      <c r="AD477" s="161" t="s">
        <v>2298</v>
      </c>
      <c r="AE477" s="161" t="s">
        <v>2299</v>
      </c>
      <c r="AF477" s="161" t="s">
        <v>2300</v>
      </c>
      <c r="AG477" s="161" t="s">
        <v>2301</v>
      </c>
      <c r="AH477" s="161" t="s">
        <v>2302</v>
      </c>
      <c r="AI477" s="161" t="s">
        <v>2303</v>
      </c>
      <c r="AJ477" s="161" t="s">
        <v>2292</v>
      </c>
      <c r="AK477" s="161" t="s">
        <v>2293</v>
      </c>
      <c r="AL477" s="161" t="s">
        <v>2304</v>
      </c>
      <c r="AM477" s="161" t="s">
        <v>58</v>
      </c>
      <c r="AN477" s="161" t="s">
        <v>2191</v>
      </c>
      <c r="AO477" s="161" t="s">
        <v>2294</v>
      </c>
      <c r="AP477" s="161" t="s">
        <v>2305</v>
      </c>
      <c r="AQ477" s="161" t="s">
        <v>58</v>
      </c>
    </row>
    <row r="478" customFormat="false" ht="14.4" hidden="false" customHeight="false" outlineLevel="0" collapsed="false">
      <c r="A478" s="0" t="n">
        <v>230</v>
      </c>
      <c r="B478" s="0" t="s">
        <v>2306</v>
      </c>
      <c r="C478" s="0" t="s">
        <v>429</v>
      </c>
      <c r="D478" s="0" t="s">
        <v>430</v>
      </c>
      <c r="E478" s="0" t="s">
        <v>2123</v>
      </c>
      <c r="F478" s="0" t="n">
        <v>7310</v>
      </c>
      <c r="G478" s="0" t="s">
        <v>142</v>
      </c>
      <c r="H478" s="0" t="n">
        <v>120</v>
      </c>
      <c r="I478" s="0" t="n">
        <v>0</v>
      </c>
      <c r="J478" s="0" t="n">
        <v>0</v>
      </c>
      <c r="K478" s="0" t="n">
        <v>54</v>
      </c>
      <c r="L478" s="0" t="n">
        <v>319</v>
      </c>
      <c r="M478" s="0" t="n">
        <v>399</v>
      </c>
      <c r="N478" s="0" t="n">
        <v>13</v>
      </c>
      <c r="O478" s="0" t="n">
        <v>0</v>
      </c>
      <c r="P478" s="0" t="n">
        <v>33</v>
      </c>
      <c r="Q478" s="114" t="n">
        <v>36</v>
      </c>
      <c r="R478" s="114" t="n">
        <v>82</v>
      </c>
      <c r="S478" s="114" t="n">
        <v>1.2</v>
      </c>
      <c r="T478" s="114" t="n">
        <v>1.3</v>
      </c>
      <c r="U478" s="114" t="n">
        <v>1.4</v>
      </c>
      <c r="V478" s="0" t="n">
        <v>2</v>
      </c>
      <c r="W478" s="0" t="n">
        <v>3</v>
      </c>
      <c r="X478" s="0" t="n">
        <v>3</v>
      </c>
      <c r="Y478" s="0" t="s">
        <v>2124</v>
      </c>
      <c r="Z478" s="0" t="s">
        <v>1858</v>
      </c>
      <c r="AA478" s="0" t="s">
        <v>2125</v>
      </c>
      <c r="AB478" s="0" t="s">
        <v>2307</v>
      </c>
      <c r="AC478" s="0" t="s">
        <v>2308</v>
      </c>
      <c r="AD478" s="0" t="s">
        <v>58</v>
      </c>
      <c r="AE478" s="0" t="s">
        <v>58</v>
      </c>
      <c r="AF478" s="0" t="s">
        <v>58</v>
      </c>
      <c r="AG478" s="0" t="s">
        <v>58</v>
      </c>
      <c r="AH478" s="0" t="s">
        <v>58</v>
      </c>
      <c r="AI478" s="0" t="s">
        <v>58</v>
      </c>
      <c r="AJ478" s="0" t="s">
        <v>2309</v>
      </c>
      <c r="AK478" s="0" t="s">
        <v>2310</v>
      </c>
      <c r="AL478" s="0" t="s">
        <v>58</v>
      </c>
      <c r="AM478" s="0" t="s">
        <v>58</v>
      </c>
      <c r="AN478" s="0" t="s">
        <v>2311</v>
      </c>
      <c r="AO478" s="0" t="s">
        <v>2312</v>
      </c>
      <c r="AP478" s="0" t="s">
        <v>58</v>
      </c>
      <c r="AQ478" s="0" t="s">
        <v>58</v>
      </c>
    </row>
    <row r="479" customFormat="false" ht="14.4" hidden="false" customHeight="false" outlineLevel="0" collapsed="false">
      <c r="A479" s="0" t="s">
        <v>2313</v>
      </c>
      <c r="B479" s="0" t="s">
        <v>2314</v>
      </c>
      <c r="C479" s="0" t="s">
        <v>925</v>
      </c>
      <c r="D479" s="0" t="s">
        <v>430</v>
      </c>
      <c r="E479" s="0" t="s">
        <v>2123</v>
      </c>
      <c r="F479" s="0" t="n">
        <v>6614</v>
      </c>
      <c r="G479" s="0" t="s">
        <v>140</v>
      </c>
      <c r="H479" s="0" t="n">
        <v>123</v>
      </c>
      <c r="I479" s="0" t="n">
        <v>0</v>
      </c>
      <c r="J479" s="0" t="n">
        <v>0</v>
      </c>
      <c r="K479" s="0" t="n">
        <v>49</v>
      </c>
      <c r="L479" s="0" t="n">
        <v>337</v>
      </c>
      <c r="M479" s="0" t="n">
        <v>419</v>
      </c>
      <c r="N479" s="0" t="n">
        <v>13</v>
      </c>
      <c r="O479" s="0" t="n">
        <v>0</v>
      </c>
      <c r="P479" s="0" t="n">
        <v>28</v>
      </c>
      <c r="Q479" s="0" t="n">
        <v>46</v>
      </c>
      <c r="R479" s="0" t="n">
        <v>100</v>
      </c>
      <c r="S479" s="114" t="n">
        <v>1.3</v>
      </c>
      <c r="T479" s="114" t="n">
        <v>1.25</v>
      </c>
      <c r="U479" s="114" t="n">
        <v>1.25</v>
      </c>
      <c r="V479" s="0" t="n">
        <v>2</v>
      </c>
      <c r="W479" s="0" t="n">
        <v>3</v>
      </c>
      <c r="X479" s="0" t="n">
        <v>3</v>
      </c>
      <c r="Y479" s="0" t="s">
        <v>2124</v>
      </c>
      <c r="Z479" s="0" t="s">
        <v>1858</v>
      </c>
      <c r="AA479" s="0" t="s">
        <v>2125</v>
      </c>
      <c r="AB479" s="0" t="s">
        <v>2315</v>
      </c>
      <c r="AC479" s="0" t="s">
        <v>58</v>
      </c>
      <c r="AD479" s="0" t="s">
        <v>58</v>
      </c>
      <c r="AE479" s="0" t="s">
        <v>58</v>
      </c>
      <c r="AF479" s="0" t="s">
        <v>58</v>
      </c>
      <c r="AG479" s="0" t="s">
        <v>58</v>
      </c>
      <c r="AH479" s="0" t="s">
        <v>58</v>
      </c>
      <c r="AI479" s="0" t="s">
        <v>58</v>
      </c>
      <c r="AJ479" s="0" t="s">
        <v>2316</v>
      </c>
      <c r="AK479" s="0" t="s">
        <v>2317</v>
      </c>
      <c r="AL479" s="0" t="s">
        <v>58</v>
      </c>
      <c r="AM479" s="0" t="s">
        <v>58</v>
      </c>
      <c r="AN479" s="0" t="s">
        <v>2318</v>
      </c>
      <c r="AO479" s="159" t="s">
        <v>2319</v>
      </c>
      <c r="AP479" s="0" t="s">
        <v>58</v>
      </c>
      <c r="AQ479" s="0" t="s">
        <v>58</v>
      </c>
    </row>
    <row r="480" customFormat="false" ht="14.4" hidden="false" customHeight="false" outlineLevel="0" collapsed="false">
      <c r="A480" s="0" t="s">
        <v>2320</v>
      </c>
      <c r="B480" s="0" t="s">
        <v>2321</v>
      </c>
      <c r="C480" s="0" t="s">
        <v>562</v>
      </c>
      <c r="D480" s="0" t="s">
        <v>438</v>
      </c>
      <c r="E480" s="0" t="s">
        <v>2123</v>
      </c>
      <c r="F480" s="0" t="n">
        <v>5523</v>
      </c>
      <c r="G480" s="0" t="s">
        <v>140</v>
      </c>
      <c r="H480" s="0" t="n">
        <v>112</v>
      </c>
      <c r="I480" s="0" t="n">
        <v>0</v>
      </c>
      <c r="J480" s="0" t="n">
        <v>0</v>
      </c>
      <c r="K480" s="0" t="n">
        <v>48</v>
      </c>
      <c r="L480" s="0" t="n">
        <v>288</v>
      </c>
      <c r="M480" s="0" t="n">
        <v>377</v>
      </c>
      <c r="N480" s="0" t="n">
        <v>12</v>
      </c>
      <c r="O480" s="0" t="n">
        <v>0</v>
      </c>
      <c r="P480" s="0" t="n">
        <v>28</v>
      </c>
      <c r="Q480" s="114" t="n">
        <v>93</v>
      </c>
      <c r="R480" s="114" t="n">
        <v>86</v>
      </c>
      <c r="S480" s="114" t="n">
        <v>1.2</v>
      </c>
      <c r="T480" s="114" t="n">
        <v>1.25</v>
      </c>
      <c r="U480" s="114" t="n">
        <v>1.25</v>
      </c>
      <c r="V480" s="0" t="n">
        <v>3</v>
      </c>
      <c r="W480" s="0" t="n">
        <v>2</v>
      </c>
      <c r="X480" s="0" t="n">
        <v>2</v>
      </c>
      <c r="Y480" s="0" t="s">
        <v>2124</v>
      </c>
      <c r="Z480" s="0" t="s">
        <v>1858</v>
      </c>
      <c r="AA480" s="0" t="s">
        <v>1858</v>
      </c>
      <c r="AB480" s="0" t="s">
        <v>58</v>
      </c>
      <c r="AC480" s="0" t="s">
        <v>58</v>
      </c>
      <c r="AD480" s="0" t="s">
        <v>58</v>
      </c>
      <c r="AE480" s="0" t="s">
        <v>58</v>
      </c>
      <c r="AF480" s="0" t="s">
        <v>58</v>
      </c>
      <c r="AG480" s="0" t="s">
        <v>58</v>
      </c>
      <c r="AH480" s="0" t="s">
        <v>58</v>
      </c>
      <c r="AI480" s="0" t="s">
        <v>58</v>
      </c>
      <c r="AJ480" s="0" t="s">
        <v>2322</v>
      </c>
      <c r="AK480" s="0" t="s">
        <v>58</v>
      </c>
      <c r="AL480" s="0" t="s">
        <v>58</v>
      </c>
      <c r="AM480" s="0" t="s">
        <v>58</v>
      </c>
      <c r="AN480" s="0" t="s">
        <v>2323</v>
      </c>
      <c r="AO480" s="0" t="s">
        <v>58</v>
      </c>
      <c r="AP480" s="0" t="s">
        <v>58</v>
      </c>
      <c r="AQ480" s="0" t="s">
        <v>58</v>
      </c>
    </row>
    <row r="481" customFormat="false" ht="14.4" hidden="false" customHeight="false" outlineLevel="0" collapsed="false">
      <c r="A481" s="0" t="n">
        <v>146</v>
      </c>
      <c r="B481" s="0" t="s">
        <v>2324</v>
      </c>
      <c r="C481" s="0" t="s">
        <v>471</v>
      </c>
      <c r="D481" s="0" t="s">
        <v>430</v>
      </c>
      <c r="E481" s="0" t="s">
        <v>2123</v>
      </c>
      <c r="F481" s="0" t="n">
        <v>6262</v>
      </c>
      <c r="G481" s="0" t="s">
        <v>142</v>
      </c>
      <c r="H481" s="0" t="n">
        <v>104</v>
      </c>
      <c r="I481" s="0" t="n">
        <v>0</v>
      </c>
      <c r="J481" s="0" t="n">
        <v>0</v>
      </c>
      <c r="K481" s="0" t="n">
        <v>53</v>
      </c>
      <c r="L481" s="0" t="n">
        <v>289</v>
      </c>
      <c r="M481" s="0" t="n">
        <v>410</v>
      </c>
      <c r="N481" s="0" t="n">
        <v>13</v>
      </c>
      <c r="O481" s="0" t="n">
        <v>0</v>
      </c>
      <c r="P481" s="0" t="n">
        <v>30</v>
      </c>
      <c r="Q481" s="114" t="n">
        <v>82</v>
      </c>
      <c r="R481" s="114" t="n">
        <v>90</v>
      </c>
      <c r="S481" s="114" t="n">
        <v>1.2</v>
      </c>
      <c r="T481" s="114" t="n">
        <v>1.3</v>
      </c>
      <c r="U481" s="114" t="n">
        <v>1.3</v>
      </c>
      <c r="V481" s="0" t="n">
        <v>2</v>
      </c>
      <c r="W481" s="0" t="n">
        <v>3</v>
      </c>
      <c r="X481" s="0" t="n">
        <v>3</v>
      </c>
      <c r="Y481" s="0" t="s">
        <v>2124</v>
      </c>
      <c r="Z481" s="0" t="s">
        <v>1858</v>
      </c>
      <c r="AA481" s="0" t="s">
        <v>2125</v>
      </c>
      <c r="AB481" s="0" t="s">
        <v>58</v>
      </c>
      <c r="AC481" s="0" t="s">
        <v>58</v>
      </c>
      <c r="AD481" s="0" t="s">
        <v>58</v>
      </c>
      <c r="AE481" s="0" t="s">
        <v>58</v>
      </c>
      <c r="AF481" s="0" t="s">
        <v>58</v>
      </c>
      <c r="AG481" s="0" t="s">
        <v>58</v>
      </c>
      <c r="AH481" s="0" t="s">
        <v>58</v>
      </c>
      <c r="AI481" s="0" t="s">
        <v>58</v>
      </c>
      <c r="AJ481" s="0" t="s">
        <v>2325</v>
      </c>
      <c r="AK481" s="0" t="s">
        <v>2150</v>
      </c>
      <c r="AL481" s="0" t="s">
        <v>58</v>
      </c>
      <c r="AM481" s="0" t="s">
        <v>58</v>
      </c>
      <c r="AN481" s="0" t="s">
        <v>2326</v>
      </c>
      <c r="AO481" s="0" t="s">
        <v>2151</v>
      </c>
      <c r="AP481" s="0" t="s">
        <v>58</v>
      </c>
      <c r="AQ481" s="0" t="s">
        <v>58</v>
      </c>
    </row>
    <row r="482" customFormat="false" ht="14.4" hidden="false" customHeight="false" outlineLevel="0" collapsed="false">
      <c r="A482" s="0" t="n">
        <v>79</v>
      </c>
      <c r="B482" s="0" t="s">
        <v>2327</v>
      </c>
      <c r="C482" s="0" t="s">
        <v>437</v>
      </c>
      <c r="D482" s="0" t="s">
        <v>472</v>
      </c>
      <c r="E482" s="0" t="s">
        <v>2123</v>
      </c>
      <c r="F482" s="0" t="n">
        <v>4219</v>
      </c>
      <c r="G482" s="0" t="s">
        <v>140</v>
      </c>
      <c r="H482" s="0" t="n">
        <v>102</v>
      </c>
      <c r="I482" s="0" t="n">
        <v>0</v>
      </c>
      <c r="J482" s="0" t="n">
        <v>0</v>
      </c>
      <c r="K482" s="0" t="n">
        <v>31</v>
      </c>
      <c r="L482" s="0" t="n">
        <v>238</v>
      </c>
      <c r="M482" s="0" t="n">
        <v>292</v>
      </c>
      <c r="N482" s="0" t="n">
        <v>11</v>
      </c>
      <c r="O482" s="0" t="n">
        <v>0</v>
      </c>
      <c r="P482" s="0" t="n">
        <v>29</v>
      </c>
      <c r="Q482" s="114" t="n">
        <v>20</v>
      </c>
      <c r="R482" s="114" t="n">
        <v>88</v>
      </c>
      <c r="S482" s="114" t="n">
        <v>1.25</v>
      </c>
      <c r="T482" s="114" t="n">
        <v>1.25</v>
      </c>
      <c r="U482" s="114" t="n">
        <v>1.25</v>
      </c>
      <c r="V482" s="0" t="n">
        <v>3</v>
      </c>
      <c r="W482" s="0" t="n">
        <v>3</v>
      </c>
      <c r="X482" s="0" t="n">
        <v>2</v>
      </c>
      <c r="Y482" s="0" t="s">
        <v>2124</v>
      </c>
      <c r="Z482" s="0" t="s">
        <v>1858</v>
      </c>
      <c r="AA482" s="0" t="s">
        <v>2125</v>
      </c>
      <c r="AB482" s="161" t="s">
        <v>2328</v>
      </c>
      <c r="AC482" s="0" t="s">
        <v>58</v>
      </c>
      <c r="AD482" s="0" t="s">
        <v>58</v>
      </c>
      <c r="AE482" s="0" t="s">
        <v>58</v>
      </c>
      <c r="AF482" s="0" t="s">
        <v>58</v>
      </c>
      <c r="AG482" s="0" t="s">
        <v>58</v>
      </c>
      <c r="AH482" s="0" t="s">
        <v>58</v>
      </c>
      <c r="AI482" s="0" t="s">
        <v>58</v>
      </c>
      <c r="AJ482" s="0" t="s">
        <v>2329</v>
      </c>
      <c r="AK482" s="0" t="s">
        <v>58</v>
      </c>
      <c r="AL482" s="0" t="s">
        <v>58</v>
      </c>
      <c r="AM482" s="0" t="s">
        <v>58</v>
      </c>
      <c r="AN482" s="0" t="s">
        <v>2328</v>
      </c>
      <c r="AO482" s="0" t="s">
        <v>58</v>
      </c>
      <c r="AP482" s="0" t="s">
        <v>58</v>
      </c>
      <c r="AQ482" s="0" t="s">
        <v>58</v>
      </c>
    </row>
    <row r="483" customFormat="false" ht="14.4" hidden="false" customHeight="false" outlineLevel="0" collapsed="false">
      <c r="A483" s="0" t="n">
        <v>76</v>
      </c>
      <c r="B483" s="0" t="s">
        <v>2330</v>
      </c>
      <c r="C483" s="0" t="s">
        <v>437</v>
      </c>
      <c r="D483" s="0" t="s">
        <v>438</v>
      </c>
      <c r="E483" s="0" t="s">
        <v>2123</v>
      </c>
      <c r="F483" s="0" t="n">
        <v>5797</v>
      </c>
      <c r="G483" s="0" t="s">
        <v>140</v>
      </c>
      <c r="H483" s="0" t="n">
        <v>121</v>
      </c>
      <c r="I483" s="0" t="n">
        <v>0</v>
      </c>
      <c r="J483" s="0" t="n">
        <v>0</v>
      </c>
      <c r="K483" s="0" t="n">
        <v>54</v>
      </c>
      <c r="L483" s="0" t="n">
        <v>317</v>
      </c>
      <c r="M483" s="0" t="n">
        <v>395</v>
      </c>
      <c r="N483" s="0" t="n">
        <v>12</v>
      </c>
      <c r="O483" s="0" t="n">
        <v>0</v>
      </c>
      <c r="P483" s="0" t="n">
        <v>32</v>
      </c>
      <c r="Q483" s="114" t="n">
        <v>39</v>
      </c>
      <c r="R483" s="114" t="n">
        <v>96</v>
      </c>
      <c r="S483" s="114" t="n">
        <v>1.25</v>
      </c>
      <c r="T483" s="114" t="n">
        <v>1.25</v>
      </c>
      <c r="U483" s="114" t="n">
        <v>1.25</v>
      </c>
      <c r="V483" s="0" t="n">
        <v>3</v>
      </c>
      <c r="W483" s="0" t="n">
        <v>3</v>
      </c>
      <c r="X483" s="0" t="n">
        <v>2</v>
      </c>
      <c r="Y483" s="0" t="s">
        <v>2124</v>
      </c>
      <c r="Z483" s="0" t="s">
        <v>1858</v>
      </c>
      <c r="AA483" s="0" t="s">
        <v>2125</v>
      </c>
      <c r="AB483" s="0" t="s">
        <v>2331</v>
      </c>
      <c r="AC483" s="0" t="s">
        <v>2332</v>
      </c>
      <c r="AD483" s="0" t="s">
        <v>58</v>
      </c>
      <c r="AE483" s="0" t="s">
        <v>58</v>
      </c>
      <c r="AF483" s="0" t="s">
        <v>58</v>
      </c>
      <c r="AG483" s="0" t="s">
        <v>58</v>
      </c>
      <c r="AH483" s="0" t="s">
        <v>58</v>
      </c>
      <c r="AI483" s="0" t="s">
        <v>58</v>
      </c>
      <c r="AJ483" s="0" t="s">
        <v>2333</v>
      </c>
      <c r="AK483" s="0" t="s">
        <v>2189</v>
      </c>
      <c r="AL483" s="0" t="s">
        <v>58</v>
      </c>
      <c r="AM483" s="0" t="s">
        <v>58</v>
      </c>
      <c r="AN483" s="0" t="s">
        <v>2334</v>
      </c>
      <c r="AO483" s="0" t="s">
        <v>2191</v>
      </c>
      <c r="AP483" s="0" t="s">
        <v>58</v>
      </c>
      <c r="AQ483" s="0" t="s">
        <v>58</v>
      </c>
    </row>
    <row r="484" customFormat="false" ht="14.4" hidden="false" customHeight="false" outlineLevel="0" collapsed="false">
      <c r="A484" s="0" t="n">
        <v>229</v>
      </c>
      <c r="B484" s="0" t="s">
        <v>2335</v>
      </c>
      <c r="C484" s="0" t="s">
        <v>429</v>
      </c>
      <c r="D484" s="0" t="s">
        <v>430</v>
      </c>
      <c r="E484" s="0" t="s">
        <v>2123</v>
      </c>
      <c r="F484" s="0" t="n">
        <v>7193</v>
      </c>
      <c r="G484" s="0" t="s">
        <v>140</v>
      </c>
      <c r="H484" s="0" t="n">
        <v>120</v>
      </c>
      <c r="I484" s="0" t="n">
        <v>0</v>
      </c>
      <c r="J484" s="0" t="n">
        <v>0</v>
      </c>
      <c r="K484" s="0" t="n">
        <v>57</v>
      </c>
      <c r="L484" s="0" t="n">
        <v>323</v>
      </c>
      <c r="M484" s="0" t="n">
        <v>414</v>
      </c>
      <c r="N484" s="0" t="n">
        <v>13</v>
      </c>
      <c r="O484" s="0" t="n">
        <v>0</v>
      </c>
      <c r="P484" s="0" t="n">
        <v>34</v>
      </c>
      <c r="Q484" s="114" t="n">
        <v>73</v>
      </c>
      <c r="R484" s="114" t="n">
        <v>87</v>
      </c>
      <c r="S484" s="114" t="n">
        <v>1.3</v>
      </c>
      <c r="T484" s="114" t="n">
        <v>1.25</v>
      </c>
      <c r="U484" s="114" t="n">
        <v>1.25</v>
      </c>
      <c r="V484" s="0" t="n">
        <v>2</v>
      </c>
      <c r="W484" s="0" t="n">
        <v>3</v>
      </c>
      <c r="X484" s="0" t="n">
        <v>3</v>
      </c>
      <c r="Y484" s="0" t="s">
        <v>2124</v>
      </c>
      <c r="Z484" s="0" t="s">
        <v>1858</v>
      </c>
      <c r="AA484" s="0" t="s">
        <v>2125</v>
      </c>
      <c r="AB484" s="0" t="s">
        <v>58</v>
      </c>
      <c r="AC484" s="0" t="s">
        <v>58</v>
      </c>
      <c r="AD484" s="0" t="s">
        <v>58</v>
      </c>
      <c r="AE484" s="0" t="s">
        <v>58</v>
      </c>
      <c r="AF484" s="0" t="s">
        <v>58</v>
      </c>
      <c r="AG484" s="0" t="s">
        <v>58</v>
      </c>
      <c r="AH484" s="0" t="s">
        <v>58</v>
      </c>
      <c r="AI484" s="0" t="s">
        <v>58</v>
      </c>
      <c r="AJ484" s="0" t="s">
        <v>2336</v>
      </c>
      <c r="AK484" s="0" t="s">
        <v>2337</v>
      </c>
      <c r="AL484" s="0" t="s">
        <v>58</v>
      </c>
      <c r="AM484" s="0" t="s">
        <v>58</v>
      </c>
      <c r="AN484" s="0" t="s">
        <v>2338</v>
      </c>
      <c r="AO484" s="0" t="s">
        <v>2339</v>
      </c>
      <c r="AP484" s="0" t="s">
        <v>58</v>
      </c>
      <c r="AQ484" s="0" t="s">
        <v>58</v>
      </c>
    </row>
    <row r="486" customFormat="false" ht="14.4" hidden="false" customHeight="false" outlineLevel="0" collapsed="false">
      <c r="A486" s="144" t="s">
        <v>415</v>
      </c>
      <c r="B486" s="144" t="s">
        <v>97</v>
      </c>
      <c r="C486" s="144" t="s">
        <v>139</v>
      </c>
      <c r="D486" s="144" t="s">
        <v>416</v>
      </c>
      <c r="E486" s="144" t="s">
        <v>96</v>
      </c>
      <c r="F486" s="144" t="s">
        <v>45</v>
      </c>
      <c r="G486" s="144" t="s">
        <v>417</v>
      </c>
      <c r="H486" s="144" t="s">
        <v>100</v>
      </c>
      <c r="I486" s="144" t="s">
        <v>98</v>
      </c>
      <c r="J486" s="144" t="s">
        <v>99</v>
      </c>
      <c r="K486" s="144" t="s">
        <v>46</v>
      </c>
      <c r="L486" s="144" t="s">
        <v>50</v>
      </c>
      <c r="M486" s="144" t="s">
        <v>262</v>
      </c>
      <c r="N486" s="144" t="s">
        <v>418</v>
      </c>
      <c r="O486" s="144" t="s">
        <v>105</v>
      </c>
      <c r="P486" s="144" t="s">
        <v>419</v>
      </c>
      <c r="Q486" s="145" t="s">
        <v>420</v>
      </c>
      <c r="R486" s="145" t="s">
        <v>421</v>
      </c>
      <c r="S486" s="145" t="s">
        <v>151</v>
      </c>
      <c r="T486" s="145" t="s">
        <v>155</v>
      </c>
      <c r="U486" s="145" t="s">
        <v>346</v>
      </c>
      <c r="V486" s="144" t="s">
        <v>2119</v>
      </c>
      <c r="W486" s="144" t="s">
        <v>1779</v>
      </c>
      <c r="X486" s="144" t="s">
        <v>2120</v>
      </c>
      <c r="Y486" s="144" t="s">
        <v>1776</v>
      </c>
      <c r="Z486" s="144" t="s">
        <v>1777</v>
      </c>
      <c r="AA486" s="144" t="s">
        <v>1778</v>
      </c>
      <c r="AB486" s="150" t="s">
        <v>380</v>
      </c>
      <c r="AC486" s="150" t="s">
        <v>382</v>
      </c>
      <c r="AD486" s="150" t="s">
        <v>441</v>
      </c>
      <c r="AE486" s="150" t="s">
        <v>452</v>
      </c>
      <c r="AF486" s="150" t="s">
        <v>453</v>
      </c>
      <c r="AG486" s="150" t="s">
        <v>454</v>
      </c>
      <c r="AH486" s="150" t="s">
        <v>1780</v>
      </c>
      <c r="AI486" s="150" t="s">
        <v>1781</v>
      </c>
      <c r="AJ486" s="150" t="s">
        <v>1782</v>
      </c>
      <c r="AK486" s="150" t="s">
        <v>2121</v>
      </c>
      <c r="AL486" s="150" t="s">
        <v>422</v>
      </c>
      <c r="AM486" s="150" t="s">
        <v>423</v>
      </c>
      <c r="AN486" s="150" t="s">
        <v>424</v>
      </c>
      <c r="AO486" s="150" t="s">
        <v>455</v>
      </c>
      <c r="AP486" s="150" t="s">
        <v>425</v>
      </c>
      <c r="AQ486" s="150" t="s">
        <v>426</v>
      </c>
      <c r="AR486" s="150" t="s">
        <v>427</v>
      </c>
      <c r="AS486" s="150" t="s">
        <v>456</v>
      </c>
    </row>
    <row r="487" customFormat="false" ht="15" hidden="false" customHeight="true" outlineLevel="0" collapsed="false">
      <c r="A487" s="0" t="n">
        <v>403</v>
      </c>
      <c r="B487" s="0" t="s">
        <v>2340</v>
      </c>
      <c r="C487" s="0" t="s">
        <v>437</v>
      </c>
      <c r="D487" s="0" t="s">
        <v>438</v>
      </c>
      <c r="E487" s="0" t="s">
        <v>242</v>
      </c>
      <c r="F487" s="0" t="n">
        <v>5008</v>
      </c>
      <c r="G487" s="0" t="s">
        <v>138</v>
      </c>
      <c r="H487" s="0" t="n">
        <v>199</v>
      </c>
      <c r="I487" s="0" t="n">
        <v>0</v>
      </c>
      <c r="J487" s="0" t="n">
        <v>0</v>
      </c>
      <c r="K487" s="0" t="n">
        <v>83</v>
      </c>
      <c r="L487" s="0" t="n">
        <v>276</v>
      </c>
      <c r="M487" s="0" t="n">
        <v>347</v>
      </c>
      <c r="N487" s="0" t="n">
        <v>11</v>
      </c>
      <c r="O487" s="0" t="n">
        <v>72</v>
      </c>
      <c r="P487" s="0" t="n">
        <v>31</v>
      </c>
      <c r="Q487" s="0" t="n">
        <v>65</v>
      </c>
      <c r="R487" s="0" t="n">
        <v>89</v>
      </c>
      <c r="S487" s="114" t="n">
        <v>1.25</v>
      </c>
      <c r="T487" s="114" t="n">
        <v>1.55</v>
      </c>
      <c r="U487" s="114" t="n">
        <v>0</v>
      </c>
      <c r="V487" s="0" t="n">
        <v>3</v>
      </c>
      <c r="W487" s="0" t="n">
        <v>3</v>
      </c>
      <c r="X487" s="0" t="n">
        <v>0</v>
      </c>
      <c r="Y487" s="0" t="s">
        <v>2124</v>
      </c>
      <c r="Z487" s="0" t="s">
        <v>2125</v>
      </c>
      <c r="AA487" s="0" t="s">
        <v>50</v>
      </c>
      <c r="AB487" s="114" t="n">
        <v>0.8</v>
      </c>
      <c r="AC487" s="114" t="n">
        <v>0</v>
      </c>
      <c r="AD487" s="0" t="s">
        <v>2341</v>
      </c>
      <c r="AE487" s="0" t="s">
        <v>58</v>
      </c>
      <c r="AF487" s="0" t="s">
        <v>58</v>
      </c>
      <c r="AG487" s="0" t="s">
        <v>58</v>
      </c>
      <c r="AH487" s="0" t="s">
        <v>58</v>
      </c>
      <c r="AI487" s="0" t="s">
        <v>58</v>
      </c>
      <c r="AJ487" s="0" t="s">
        <v>58</v>
      </c>
      <c r="AK487" s="0" t="s">
        <v>58</v>
      </c>
      <c r="AL487" s="0" t="s">
        <v>2342</v>
      </c>
      <c r="AM487" s="0" t="s">
        <v>2343</v>
      </c>
      <c r="AN487" s="0" t="s">
        <v>58</v>
      </c>
      <c r="AO487" s="0" t="s">
        <v>58</v>
      </c>
      <c r="AP487" s="0" t="s">
        <v>2341</v>
      </c>
      <c r="AQ487" s="0" t="s">
        <v>2344</v>
      </c>
      <c r="AR487" s="0" t="s">
        <v>58</v>
      </c>
      <c r="AS487" s="0" t="s">
        <v>58</v>
      </c>
    </row>
    <row r="488" customFormat="false" ht="14.4" hidden="false" customHeight="false" outlineLevel="0" collapsed="false">
      <c r="A488" s="0" t="n">
        <v>71</v>
      </c>
      <c r="B488" s="0" t="s">
        <v>2345</v>
      </c>
      <c r="C488" s="0" t="s">
        <v>437</v>
      </c>
      <c r="D488" s="0" t="s">
        <v>527</v>
      </c>
      <c r="E488" s="0" t="s">
        <v>242</v>
      </c>
      <c r="F488" s="0" t="n">
        <v>3953</v>
      </c>
      <c r="G488" s="0" t="s">
        <v>140</v>
      </c>
      <c r="H488" s="0" t="n">
        <v>179</v>
      </c>
      <c r="I488" s="0" t="n">
        <v>0</v>
      </c>
      <c r="J488" s="0" t="n">
        <v>0</v>
      </c>
      <c r="K488" s="0" t="n">
        <v>67</v>
      </c>
      <c r="L488" s="0" t="n">
        <v>252</v>
      </c>
      <c r="M488" s="0" t="n">
        <v>279</v>
      </c>
      <c r="N488" s="0" t="n">
        <v>9</v>
      </c>
      <c r="O488" s="0" t="n">
        <v>148</v>
      </c>
      <c r="P488" s="0" t="n">
        <v>18</v>
      </c>
      <c r="Q488" s="114" t="n">
        <v>78</v>
      </c>
      <c r="R488" s="114" t="n">
        <v>86</v>
      </c>
      <c r="S488" s="114" t="n">
        <v>1.3</v>
      </c>
      <c r="T488" s="114" t="n">
        <v>1.3</v>
      </c>
      <c r="U488" s="114" t="n">
        <v>0.8</v>
      </c>
      <c r="V488" s="0" t="n">
        <v>3</v>
      </c>
      <c r="W488" s="0" t="n">
        <v>3</v>
      </c>
      <c r="X488" s="0" t="n">
        <v>0</v>
      </c>
      <c r="Y488" s="0" t="s">
        <v>2124</v>
      </c>
      <c r="Z488" s="0" t="s">
        <v>1858</v>
      </c>
      <c r="AA488" s="0" t="s">
        <v>50</v>
      </c>
      <c r="AB488" s="114" t="n">
        <v>0.8</v>
      </c>
      <c r="AC488" s="114" t="n">
        <v>0</v>
      </c>
      <c r="AD488" s="0" t="s">
        <v>58</v>
      </c>
      <c r="AE488" s="0" t="s">
        <v>58</v>
      </c>
      <c r="AF488" s="0" t="s">
        <v>58</v>
      </c>
      <c r="AG488" s="0" t="s">
        <v>58</v>
      </c>
      <c r="AH488" s="0" t="s">
        <v>58</v>
      </c>
      <c r="AI488" s="0" t="s">
        <v>58</v>
      </c>
      <c r="AJ488" s="0" t="s">
        <v>58</v>
      </c>
      <c r="AK488" s="0" t="s">
        <v>58</v>
      </c>
      <c r="AL488" s="0" t="s">
        <v>2346</v>
      </c>
      <c r="AM488" s="0" t="s">
        <v>58</v>
      </c>
      <c r="AN488" s="0" t="s">
        <v>58</v>
      </c>
      <c r="AO488" s="0" t="s">
        <v>58</v>
      </c>
      <c r="AP488" s="0" t="s">
        <v>2347</v>
      </c>
      <c r="AQ488" s="0" t="s">
        <v>58</v>
      </c>
      <c r="AR488" s="0" t="s">
        <v>58</v>
      </c>
      <c r="AS488" s="0" t="s">
        <v>58</v>
      </c>
    </row>
    <row r="489" customFormat="false" ht="14.4" hidden="false" customHeight="false" outlineLevel="0" collapsed="false">
      <c r="A489" s="0" t="n">
        <v>3071</v>
      </c>
      <c r="B489" s="0" t="s">
        <v>2348</v>
      </c>
      <c r="C489" s="0" t="s">
        <v>437</v>
      </c>
      <c r="D489" s="0" t="s">
        <v>472</v>
      </c>
      <c r="E489" s="0" t="s">
        <v>242</v>
      </c>
      <c r="F489" s="0" t="n">
        <v>4163</v>
      </c>
      <c r="G489" s="0" t="s">
        <v>140</v>
      </c>
      <c r="H489" s="0" t="n">
        <v>184</v>
      </c>
      <c r="I489" s="0" t="n">
        <v>0</v>
      </c>
      <c r="J489" s="0" t="n">
        <v>0</v>
      </c>
      <c r="K489" s="0" t="n">
        <v>67</v>
      </c>
      <c r="L489" s="0" t="n">
        <v>287</v>
      </c>
      <c r="M489" s="0" t="n">
        <v>339</v>
      </c>
      <c r="N489" s="0" t="n">
        <v>9</v>
      </c>
      <c r="O489" s="0" t="n">
        <v>148</v>
      </c>
      <c r="P489" s="0" t="n">
        <v>18</v>
      </c>
      <c r="Q489" s="114" t="n">
        <v>78</v>
      </c>
      <c r="R489" s="114" t="n">
        <v>86</v>
      </c>
      <c r="S489" s="114" t="n">
        <v>1.3</v>
      </c>
      <c r="T489" s="114" t="n">
        <v>1.45</v>
      </c>
      <c r="U489" s="114" t="n">
        <v>0.85</v>
      </c>
      <c r="V489" s="0" t="n">
        <v>3</v>
      </c>
      <c r="W489" s="0" t="n">
        <v>3</v>
      </c>
      <c r="X489" s="0" t="n">
        <v>0</v>
      </c>
      <c r="Y489" s="0" t="s">
        <v>2124</v>
      </c>
      <c r="Z489" s="0" t="s">
        <v>1858</v>
      </c>
      <c r="AA489" s="0" t="s">
        <v>50</v>
      </c>
      <c r="AB489" s="114" t="n">
        <v>0.85</v>
      </c>
      <c r="AC489" s="114" t="n">
        <v>0</v>
      </c>
      <c r="AD489" s="0" t="s">
        <v>58</v>
      </c>
      <c r="AE489" s="0" t="s">
        <v>58</v>
      </c>
      <c r="AF489" s="0" t="s">
        <v>58</v>
      </c>
      <c r="AG489" s="0" t="s">
        <v>58</v>
      </c>
      <c r="AH489" s="0" t="s">
        <v>58</v>
      </c>
      <c r="AI489" s="0" t="s">
        <v>58</v>
      </c>
      <c r="AJ489" s="0" t="s">
        <v>58</v>
      </c>
      <c r="AK489" s="0" t="s">
        <v>58</v>
      </c>
      <c r="AL489" s="0" t="s">
        <v>2346</v>
      </c>
      <c r="AM489" s="0" t="s">
        <v>2349</v>
      </c>
      <c r="AN489" s="0" t="s">
        <v>58</v>
      </c>
      <c r="AO489" s="0" t="s">
        <v>58</v>
      </c>
      <c r="AP489" s="0" t="s">
        <v>2347</v>
      </c>
      <c r="AQ489" s="0" t="s">
        <v>2350</v>
      </c>
      <c r="AR489" s="0" t="s">
        <v>58</v>
      </c>
      <c r="AS489" s="0" t="s">
        <v>58</v>
      </c>
    </row>
    <row r="490" customFormat="false" ht="14.4" hidden="false" customHeight="true" outlineLevel="0" collapsed="false">
      <c r="B490" s="0" t="s">
        <v>2351</v>
      </c>
      <c r="C490" s="0" t="s">
        <v>437</v>
      </c>
      <c r="D490" s="0" t="s">
        <v>438</v>
      </c>
      <c r="E490" s="0" t="s">
        <v>242</v>
      </c>
      <c r="F490" s="0" t="n">
        <v>4707</v>
      </c>
      <c r="G490" s="0" t="s">
        <v>140</v>
      </c>
      <c r="H490" s="0" t="n">
        <v>193</v>
      </c>
      <c r="I490" s="0" t="n">
        <v>0</v>
      </c>
      <c r="J490" s="0" t="n">
        <v>0</v>
      </c>
      <c r="K490" s="0" t="n">
        <v>62</v>
      </c>
      <c r="L490" s="0" t="n">
        <v>258</v>
      </c>
      <c r="M490" s="0" t="n">
        <v>286</v>
      </c>
      <c r="N490" s="0" t="n">
        <v>11</v>
      </c>
      <c r="O490" s="0" t="n">
        <v>117</v>
      </c>
      <c r="P490" s="0" t="n">
        <v>19</v>
      </c>
      <c r="Q490" s="0" t="n">
        <v>65</v>
      </c>
      <c r="R490" s="0" t="n">
        <v>73</v>
      </c>
      <c r="S490" s="114" t="n">
        <v>1.35</v>
      </c>
      <c r="T490" s="114" t="n">
        <v>1.35</v>
      </c>
      <c r="U490" s="114" t="n">
        <v>1</v>
      </c>
      <c r="V490" s="0" t="n">
        <v>3</v>
      </c>
      <c r="W490" s="0" t="n">
        <v>3</v>
      </c>
      <c r="X490" s="0" t="n">
        <v>0</v>
      </c>
      <c r="AA490" s="0" t="s">
        <v>50</v>
      </c>
      <c r="AB490" s="114"/>
      <c r="AC490" s="114"/>
    </row>
    <row r="491" customFormat="false" ht="14.4" hidden="false" customHeight="false" outlineLevel="0" collapsed="false">
      <c r="A491" s="0" t="n">
        <v>356</v>
      </c>
      <c r="B491" s="0" t="s">
        <v>2352</v>
      </c>
      <c r="C491" s="0" t="s">
        <v>471</v>
      </c>
      <c r="D491" s="0" t="s">
        <v>430</v>
      </c>
      <c r="E491" s="0" t="s">
        <v>242</v>
      </c>
      <c r="F491" s="0" t="n">
        <v>6626</v>
      </c>
      <c r="G491" s="0" t="s">
        <v>140</v>
      </c>
      <c r="H491" s="0" t="n">
        <v>160</v>
      </c>
      <c r="I491" s="0" t="n">
        <v>0</v>
      </c>
      <c r="J491" s="0" t="n">
        <v>0</v>
      </c>
      <c r="K491" s="0" t="n">
        <v>70</v>
      </c>
      <c r="L491" s="0" t="n">
        <v>268</v>
      </c>
      <c r="M491" s="0" t="n">
        <v>421</v>
      </c>
      <c r="N491" s="0" t="n">
        <v>13</v>
      </c>
      <c r="O491" s="0" t="n">
        <v>126</v>
      </c>
      <c r="P491" s="0" t="n">
        <v>28</v>
      </c>
      <c r="Q491" s="114" t="n">
        <v>73</v>
      </c>
      <c r="R491" s="114" t="n">
        <v>96</v>
      </c>
      <c r="S491" s="114" t="n">
        <v>1.25</v>
      </c>
      <c r="T491" s="114" t="n">
        <v>1.2</v>
      </c>
      <c r="U491" s="114" t="n">
        <v>1.4</v>
      </c>
      <c r="V491" s="0" t="n">
        <v>2</v>
      </c>
      <c r="W491" s="0" t="n">
        <v>2</v>
      </c>
      <c r="X491" s="0" t="n">
        <v>4</v>
      </c>
      <c r="Y491" s="0" t="s">
        <v>2124</v>
      </c>
      <c r="Z491" s="0" t="s">
        <v>2124</v>
      </c>
      <c r="AA491" s="0" t="s">
        <v>2125</v>
      </c>
      <c r="AB491" s="114" t="n">
        <v>0</v>
      </c>
      <c r="AC491" s="114" t="n">
        <v>0</v>
      </c>
      <c r="AD491" s="0" t="s">
        <v>2353</v>
      </c>
      <c r="AE491" s="0" t="s">
        <v>58</v>
      </c>
      <c r="AF491" s="0" t="s">
        <v>58</v>
      </c>
      <c r="AG491" s="0" t="s">
        <v>58</v>
      </c>
      <c r="AH491" s="0" t="s">
        <v>58</v>
      </c>
      <c r="AI491" s="0" t="s">
        <v>58</v>
      </c>
      <c r="AJ491" s="0" t="s">
        <v>58</v>
      </c>
      <c r="AK491" s="0" t="s">
        <v>58</v>
      </c>
      <c r="AL491" s="0" t="s">
        <v>2354</v>
      </c>
      <c r="AM491" s="0" t="s">
        <v>2355</v>
      </c>
      <c r="AN491" s="0" t="s">
        <v>58</v>
      </c>
      <c r="AO491" s="0" t="s">
        <v>58</v>
      </c>
      <c r="AP491" s="0" t="s">
        <v>2353</v>
      </c>
      <c r="AQ491" s="0" t="s">
        <v>360</v>
      </c>
      <c r="AR491" s="0" t="s">
        <v>58</v>
      </c>
      <c r="AS491" s="0" t="s">
        <v>58</v>
      </c>
    </row>
    <row r="492" customFormat="false" ht="14.4" hidden="false" customHeight="false" outlineLevel="0" collapsed="false">
      <c r="A492" s="0" t="n">
        <v>376</v>
      </c>
      <c r="B492" s="0" t="s">
        <v>2356</v>
      </c>
      <c r="C492" s="0" t="s">
        <v>471</v>
      </c>
      <c r="D492" s="0" t="s">
        <v>438</v>
      </c>
      <c r="E492" s="0" t="s">
        <v>242</v>
      </c>
      <c r="F492" s="0" t="n">
        <v>4707</v>
      </c>
      <c r="G492" s="0" t="s">
        <v>140</v>
      </c>
      <c r="H492" s="0" t="n">
        <v>185</v>
      </c>
      <c r="I492" s="0" t="n">
        <v>0</v>
      </c>
      <c r="J492" s="0" t="n">
        <v>0</v>
      </c>
      <c r="K492" s="0" t="n">
        <v>62</v>
      </c>
      <c r="L492" s="0" t="n">
        <v>257</v>
      </c>
      <c r="M492" s="0" t="n">
        <v>299</v>
      </c>
      <c r="N492" s="0" t="n">
        <v>11</v>
      </c>
      <c r="O492" s="0" t="n">
        <v>144</v>
      </c>
      <c r="P492" s="0" t="n">
        <v>18</v>
      </c>
      <c r="Q492" s="114" t="n">
        <v>82</v>
      </c>
      <c r="R492" s="114" t="n">
        <v>86</v>
      </c>
      <c r="S492" s="114" t="n">
        <v>1.3</v>
      </c>
      <c r="T492" s="114" t="n">
        <v>1.45</v>
      </c>
      <c r="U492" s="114" t="n">
        <v>0.8</v>
      </c>
      <c r="V492" s="0" t="n">
        <v>3</v>
      </c>
      <c r="W492" s="0" t="n">
        <v>3</v>
      </c>
      <c r="X492" s="0" t="n">
        <v>0</v>
      </c>
      <c r="Y492" s="0" t="s">
        <v>2124</v>
      </c>
      <c r="Z492" s="0" t="s">
        <v>2125</v>
      </c>
      <c r="AA492" s="0" t="s">
        <v>50</v>
      </c>
      <c r="AB492" s="114" t="n">
        <v>0.8</v>
      </c>
      <c r="AC492" s="114" t="n">
        <v>0</v>
      </c>
      <c r="AD492" s="0" t="s">
        <v>2357</v>
      </c>
      <c r="AE492" s="0" t="s">
        <v>58</v>
      </c>
      <c r="AF492" s="0" t="s">
        <v>58</v>
      </c>
      <c r="AG492" s="0" t="s">
        <v>58</v>
      </c>
      <c r="AH492" s="0" t="s">
        <v>58</v>
      </c>
      <c r="AI492" s="0" t="s">
        <v>58</v>
      </c>
      <c r="AJ492" s="0" t="s">
        <v>58</v>
      </c>
      <c r="AK492" s="0" t="s">
        <v>58</v>
      </c>
      <c r="AL492" s="0" t="s">
        <v>2358</v>
      </c>
      <c r="AM492" s="0" t="s">
        <v>2359</v>
      </c>
      <c r="AN492" s="0" t="s">
        <v>58</v>
      </c>
      <c r="AO492" s="0" t="s">
        <v>58</v>
      </c>
      <c r="AP492" s="0" t="s">
        <v>2347</v>
      </c>
      <c r="AQ492" s="0" t="s">
        <v>2357</v>
      </c>
      <c r="AR492" s="0" t="s">
        <v>58</v>
      </c>
      <c r="AS492" s="0" t="s">
        <v>58</v>
      </c>
    </row>
    <row r="493" customFormat="false" ht="14.4" hidden="false" customHeight="false" outlineLevel="0" collapsed="false">
      <c r="A493" s="0" t="n">
        <v>470</v>
      </c>
      <c r="B493" s="0" t="s">
        <v>2360</v>
      </c>
      <c r="C493" s="0" t="s">
        <v>429</v>
      </c>
      <c r="D493" s="0" t="s">
        <v>438</v>
      </c>
      <c r="E493" s="0" t="s">
        <v>242</v>
      </c>
      <c r="F493" s="0" t="n">
        <v>4398</v>
      </c>
      <c r="G493" s="0" t="s">
        <v>140</v>
      </c>
      <c r="H493" s="0" t="n">
        <v>185</v>
      </c>
      <c r="I493" s="0" t="n">
        <v>0</v>
      </c>
      <c r="J493" s="0" t="n">
        <v>0</v>
      </c>
      <c r="K493" s="0" t="n">
        <v>72</v>
      </c>
      <c r="L493" s="0" t="n">
        <v>261</v>
      </c>
      <c r="M493" s="0" t="n">
        <v>347</v>
      </c>
      <c r="N493" s="0" t="n">
        <v>11</v>
      </c>
      <c r="O493" s="0" t="n">
        <v>90</v>
      </c>
      <c r="P493" s="0" t="n">
        <v>29</v>
      </c>
      <c r="Q493" s="0" t="n">
        <v>57</v>
      </c>
      <c r="R493" s="0" t="n">
        <v>81</v>
      </c>
      <c r="S493" s="114" t="n">
        <v>1.3</v>
      </c>
      <c r="T493" s="114" t="n">
        <v>1.45</v>
      </c>
      <c r="U493" s="114" t="n">
        <v>0.8</v>
      </c>
      <c r="V493" s="0" t="n">
        <v>3</v>
      </c>
      <c r="W493" s="0" t="n">
        <v>3</v>
      </c>
      <c r="X493" s="0" t="n">
        <v>0</v>
      </c>
      <c r="Y493" s="0" t="s">
        <v>2124</v>
      </c>
      <c r="Z493" s="0" t="s">
        <v>2125</v>
      </c>
      <c r="AA493" s="0" t="s">
        <v>50</v>
      </c>
      <c r="AB493" s="114" t="n">
        <v>0.8</v>
      </c>
      <c r="AC493" s="114" t="n">
        <v>0</v>
      </c>
      <c r="AD493" s="0" t="s">
        <v>2361</v>
      </c>
      <c r="AE493" s="0" t="s">
        <v>2362</v>
      </c>
      <c r="AF493" s="0" t="s">
        <v>2363</v>
      </c>
      <c r="AG493" s="0" t="s">
        <v>2364</v>
      </c>
      <c r="AH493" s="0" t="s">
        <v>58</v>
      </c>
      <c r="AI493" s="0" t="s">
        <v>58</v>
      </c>
      <c r="AJ493" s="0" t="s">
        <v>58</v>
      </c>
      <c r="AK493" s="0" t="s">
        <v>58</v>
      </c>
      <c r="AL493" s="0" t="s">
        <v>2365</v>
      </c>
      <c r="AM493" s="0" t="s">
        <v>2366</v>
      </c>
      <c r="AN493" s="0" t="s">
        <v>58</v>
      </c>
      <c r="AO493" s="0" t="s">
        <v>58</v>
      </c>
      <c r="AP493" s="0" t="s">
        <v>2361</v>
      </c>
      <c r="AQ493" s="0" t="s">
        <v>2366</v>
      </c>
      <c r="AR493" s="0" t="s">
        <v>58</v>
      </c>
      <c r="AS493" s="0" t="s">
        <v>58</v>
      </c>
    </row>
    <row r="494" customFormat="false" ht="14.4" hidden="false" customHeight="false" outlineLevel="0" collapsed="false">
      <c r="A494" s="0" t="n">
        <v>471</v>
      </c>
      <c r="B494" s="0" t="s">
        <v>2367</v>
      </c>
      <c r="C494" s="0" t="s">
        <v>429</v>
      </c>
      <c r="D494" s="0" t="s">
        <v>438</v>
      </c>
      <c r="E494" s="0" t="s">
        <v>242</v>
      </c>
      <c r="F494" s="0" t="n">
        <v>4847</v>
      </c>
      <c r="G494" s="0" t="s">
        <v>140</v>
      </c>
      <c r="H494" s="0" t="n">
        <v>179</v>
      </c>
      <c r="I494" s="0" t="n">
        <v>0</v>
      </c>
      <c r="J494" s="0" t="n">
        <v>0</v>
      </c>
      <c r="K494" s="0" t="n">
        <v>72</v>
      </c>
      <c r="L494" s="0" t="n">
        <v>261</v>
      </c>
      <c r="M494" s="0" t="n">
        <v>347</v>
      </c>
      <c r="N494" s="0" t="n">
        <v>11</v>
      </c>
      <c r="O494" s="0" t="n">
        <v>90</v>
      </c>
      <c r="P494" s="0" t="n">
        <v>29</v>
      </c>
      <c r="Q494" s="0" t="n">
        <v>57</v>
      </c>
      <c r="R494" s="0" t="n">
        <v>81</v>
      </c>
      <c r="S494" s="114" t="n">
        <v>1.3</v>
      </c>
      <c r="T494" s="114" t="n">
        <v>1.45</v>
      </c>
      <c r="U494" s="114" t="n">
        <v>0.8</v>
      </c>
      <c r="V494" s="0" t="n">
        <v>3</v>
      </c>
      <c r="W494" s="0" t="n">
        <v>3</v>
      </c>
      <c r="X494" s="0" t="n">
        <v>0</v>
      </c>
      <c r="Y494" s="0" t="s">
        <v>2124</v>
      </c>
      <c r="Z494" s="0" t="s">
        <v>2125</v>
      </c>
      <c r="AA494" s="0" t="s">
        <v>50</v>
      </c>
      <c r="AB494" s="114" t="n">
        <v>0.8</v>
      </c>
      <c r="AC494" s="114" t="n">
        <v>0</v>
      </c>
      <c r="AD494" s="0" t="s">
        <v>2361</v>
      </c>
      <c r="AE494" s="0" t="s">
        <v>2362</v>
      </c>
      <c r="AF494" s="0" t="s">
        <v>2363</v>
      </c>
      <c r="AG494" s="0" t="s">
        <v>2364</v>
      </c>
      <c r="AH494" s="0" t="s">
        <v>58</v>
      </c>
      <c r="AI494" s="0" t="s">
        <v>58</v>
      </c>
      <c r="AJ494" s="0" t="s">
        <v>58</v>
      </c>
      <c r="AK494" s="0" t="s">
        <v>58</v>
      </c>
      <c r="AL494" s="0" t="s">
        <v>2365</v>
      </c>
      <c r="AM494" s="0" t="s">
        <v>2368</v>
      </c>
      <c r="AN494" s="0" t="s">
        <v>58</v>
      </c>
      <c r="AO494" s="0" t="s">
        <v>58</v>
      </c>
      <c r="AP494" s="0" t="s">
        <v>2361</v>
      </c>
      <c r="AQ494" s="0" t="s">
        <v>2369</v>
      </c>
      <c r="AR494" s="0" t="s">
        <v>58</v>
      </c>
      <c r="AS494" s="0" t="s">
        <v>58</v>
      </c>
    </row>
    <row r="495" customFormat="false" ht="14.4" hidden="false" customHeight="false" outlineLevel="0" collapsed="false">
      <c r="A495" s="0" t="n">
        <v>140</v>
      </c>
      <c r="B495" s="0" t="s">
        <v>2370</v>
      </c>
      <c r="C495" s="0" t="s">
        <v>471</v>
      </c>
      <c r="D495" s="0" t="s">
        <v>527</v>
      </c>
      <c r="E495" s="0" t="s">
        <v>242</v>
      </c>
      <c r="F495" s="0" t="n">
        <v>4157</v>
      </c>
      <c r="G495" s="0" t="s">
        <v>140</v>
      </c>
      <c r="H495" s="0" t="n">
        <v>173</v>
      </c>
      <c r="I495" s="0" t="n">
        <v>0</v>
      </c>
      <c r="J495" s="0" t="n">
        <v>0</v>
      </c>
      <c r="K495" s="0" t="n">
        <v>66</v>
      </c>
      <c r="L495" s="0" t="n">
        <v>247</v>
      </c>
      <c r="M495" s="0" t="n">
        <v>280</v>
      </c>
      <c r="N495" s="0" t="n">
        <v>9</v>
      </c>
      <c r="O495" s="0" t="n">
        <v>104</v>
      </c>
      <c r="P495" s="0" t="n">
        <v>25</v>
      </c>
      <c r="Q495" s="114" t="n">
        <v>41</v>
      </c>
      <c r="R495" s="114" t="n">
        <v>81</v>
      </c>
      <c r="S495" s="114" t="n">
        <v>1.3</v>
      </c>
      <c r="T495" s="114" t="n">
        <v>1.3</v>
      </c>
      <c r="U495" s="114" t="n">
        <v>0.8</v>
      </c>
      <c r="V495" s="0" t="n">
        <v>3</v>
      </c>
      <c r="W495" s="0" t="n">
        <v>3</v>
      </c>
      <c r="X495" s="0" t="n">
        <v>0</v>
      </c>
      <c r="Y495" s="0" t="s">
        <v>2125</v>
      </c>
      <c r="Z495" s="0" t="s">
        <v>2125</v>
      </c>
      <c r="AA495" s="0" t="s">
        <v>50</v>
      </c>
      <c r="AB495" s="114" t="n">
        <v>0.8</v>
      </c>
      <c r="AC495" s="114" t="n">
        <v>0</v>
      </c>
      <c r="AD495" s="0" t="s">
        <v>2371</v>
      </c>
      <c r="AE495" s="0" t="s">
        <v>2372</v>
      </c>
      <c r="AF495" s="0" t="s">
        <v>2373</v>
      </c>
      <c r="AG495" s="0" t="s">
        <v>58</v>
      </c>
      <c r="AH495" s="0" t="s">
        <v>58</v>
      </c>
      <c r="AI495" s="0" t="s">
        <v>58</v>
      </c>
      <c r="AJ495" s="0" t="s">
        <v>58</v>
      </c>
      <c r="AK495" s="0" t="s">
        <v>58</v>
      </c>
      <c r="AL495" s="0" t="s">
        <v>2150</v>
      </c>
      <c r="AM495" s="0" t="s">
        <v>58</v>
      </c>
      <c r="AN495" s="0" t="s">
        <v>58</v>
      </c>
      <c r="AO495" s="0" t="s">
        <v>58</v>
      </c>
      <c r="AP495" s="0" t="s">
        <v>2151</v>
      </c>
      <c r="AQ495" s="0" t="s">
        <v>58</v>
      </c>
      <c r="AR495" s="0" t="s">
        <v>58</v>
      </c>
      <c r="AS495" s="0" t="s">
        <v>58</v>
      </c>
    </row>
    <row r="496" customFormat="false" ht="14.4" hidden="false" customHeight="false" outlineLevel="0" collapsed="false">
      <c r="A496" s="0" t="n">
        <v>3140</v>
      </c>
      <c r="B496" s="0" t="s">
        <v>2374</v>
      </c>
      <c r="C496" s="0" t="s">
        <v>471</v>
      </c>
      <c r="D496" s="0" t="s">
        <v>472</v>
      </c>
      <c r="E496" s="0" t="s">
        <v>242</v>
      </c>
      <c r="F496" s="0" t="n">
        <v>4367</v>
      </c>
      <c r="G496" s="0" t="s">
        <v>140</v>
      </c>
      <c r="H496" s="0" t="n">
        <v>193</v>
      </c>
      <c r="I496" s="0" t="n">
        <v>0</v>
      </c>
      <c r="J496" s="0" t="n">
        <v>0</v>
      </c>
      <c r="K496" s="0" t="n">
        <v>66</v>
      </c>
      <c r="L496" s="0" t="n">
        <v>297</v>
      </c>
      <c r="M496" s="0" t="n">
        <v>300</v>
      </c>
      <c r="N496" s="0" t="n">
        <v>9</v>
      </c>
      <c r="O496" s="0" t="n">
        <v>104</v>
      </c>
      <c r="P496" s="0" t="n">
        <v>25</v>
      </c>
      <c r="Q496" s="0" t="n">
        <v>41</v>
      </c>
      <c r="R496" s="0" t="n">
        <v>81</v>
      </c>
      <c r="S496" s="114" t="n">
        <v>1.4</v>
      </c>
      <c r="T496" s="114" t="n">
        <v>1.4</v>
      </c>
      <c r="U496" s="114" t="n">
        <v>0.85</v>
      </c>
      <c r="V496" s="0" t="n">
        <v>3</v>
      </c>
      <c r="W496" s="0" t="n">
        <v>3</v>
      </c>
      <c r="X496" s="0" t="n">
        <v>0</v>
      </c>
      <c r="Y496" s="0" t="s">
        <v>2125</v>
      </c>
      <c r="Z496" s="0" t="s">
        <v>2125</v>
      </c>
      <c r="AA496" s="0" t="s">
        <v>50</v>
      </c>
      <c r="AB496" s="114" t="n">
        <v>0.8</v>
      </c>
      <c r="AC496" s="114" t="n">
        <v>0</v>
      </c>
      <c r="AD496" s="0" t="s">
        <v>58</v>
      </c>
      <c r="AE496" s="0" t="s">
        <v>58</v>
      </c>
      <c r="AF496" s="0" t="s">
        <v>58</v>
      </c>
      <c r="AG496" s="0" t="s">
        <v>58</v>
      </c>
      <c r="AH496" s="0" t="s">
        <v>58</v>
      </c>
      <c r="AI496" s="0" t="s">
        <v>58</v>
      </c>
      <c r="AJ496" s="0" t="s">
        <v>58</v>
      </c>
      <c r="AK496" s="0" t="s">
        <v>58</v>
      </c>
      <c r="AL496" s="0" t="s">
        <v>2150</v>
      </c>
      <c r="AM496" s="0" t="s">
        <v>2375</v>
      </c>
      <c r="AN496" s="0" t="s">
        <v>58</v>
      </c>
      <c r="AO496" s="0" t="s">
        <v>58</v>
      </c>
      <c r="AP496" s="0" t="s">
        <v>2151</v>
      </c>
      <c r="AQ496" s="0" t="s">
        <v>2376</v>
      </c>
      <c r="AR496" s="0" t="s">
        <v>58</v>
      </c>
      <c r="AS496" s="0" t="s">
        <v>58</v>
      </c>
    </row>
    <row r="497" customFormat="false" ht="14.4" hidden="false" customHeight="false" outlineLevel="0" collapsed="false">
      <c r="A497" s="0" t="n">
        <v>218</v>
      </c>
      <c r="B497" s="0" t="s">
        <v>2377</v>
      </c>
      <c r="C497" s="0" t="s">
        <v>429</v>
      </c>
      <c r="D497" s="0" t="s">
        <v>472</v>
      </c>
      <c r="E497" s="0" t="s">
        <v>242</v>
      </c>
      <c r="F497" s="0" t="n">
        <v>5204</v>
      </c>
      <c r="G497" s="0" t="s">
        <v>140</v>
      </c>
      <c r="H497" s="0" t="n">
        <v>157</v>
      </c>
      <c r="I497" s="0" t="n">
        <v>0</v>
      </c>
      <c r="J497" s="0" t="n">
        <v>0</v>
      </c>
      <c r="K497" s="0" t="n">
        <v>68</v>
      </c>
      <c r="L497" s="0" t="n">
        <v>247</v>
      </c>
      <c r="M497" s="0" t="n">
        <v>279</v>
      </c>
      <c r="N497" s="0" t="n">
        <v>11</v>
      </c>
      <c r="O497" s="0" t="n">
        <v>80</v>
      </c>
      <c r="P497" s="0" t="n">
        <v>25</v>
      </c>
      <c r="Q497" s="114" t="n">
        <v>43</v>
      </c>
      <c r="R497" s="114" t="n">
        <v>78</v>
      </c>
      <c r="S497" s="114" t="n">
        <v>1</v>
      </c>
      <c r="T497" s="114" t="n">
        <v>1.1</v>
      </c>
      <c r="U497" s="114" t="n">
        <v>1.2</v>
      </c>
      <c r="V497" s="0" t="n">
        <v>2</v>
      </c>
      <c r="W497" s="0" t="n">
        <v>3</v>
      </c>
      <c r="X497" s="0" t="n">
        <v>2</v>
      </c>
      <c r="Y497" s="0" t="s">
        <v>2124</v>
      </c>
      <c r="Z497" s="0" t="s">
        <v>1858</v>
      </c>
      <c r="AA497" s="0" t="s">
        <v>2125</v>
      </c>
      <c r="AB497" s="114" t="n">
        <v>0</v>
      </c>
      <c r="AC497" s="114" t="n">
        <v>0</v>
      </c>
      <c r="AD497" s="0" t="s">
        <v>2378</v>
      </c>
      <c r="AF497" s="0" t="s">
        <v>58</v>
      </c>
      <c r="AG497" s="0" t="s">
        <v>58</v>
      </c>
      <c r="AH497" s="0" t="s">
        <v>58</v>
      </c>
      <c r="AI497" s="0" t="s">
        <v>58</v>
      </c>
      <c r="AJ497" s="0" t="s">
        <v>58</v>
      </c>
      <c r="AK497" s="0" t="s">
        <v>58</v>
      </c>
      <c r="AL497" s="0" t="s">
        <v>2379</v>
      </c>
      <c r="AM497" s="0" t="s">
        <v>58</v>
      </c>
      <c r="AN497" s="0" t="s">
        <v>58</v>
      </c>
      <c r="AO497" s="0" t="s">
        <v>58</v>
      </c>
      <c r="AP497" s="0" t="s">
        <v>2380</v>
      </c>
      <c r="AQ497" s="0" t="s">
        <v>58</v>
      </c>
      <c r="AR497" s="0" t="s">
        <v>58</v>
      </c>
      <c r="AS497" s="0" t="s">
        <v>58</v>
      </c>
    </row>
    <row r="498" customFormat="false" ht="14.4" hidden="false" customHeight="false" outlineLevel="0" collapsed="false">
      <c r="A498" s="0" t="n">
        <v>220</v>
      </c>
      <c r="B498" s="0" t="s">
        <v>2381</v>
      </c>
      <c r="C498" s="0" t="s">
        <v>429</v>
      </c>
      <c r="D498" s="0" t="s">
        <v>438</v>
      </c>
      <c r="E498" s="0" t="s">
        <v>242</v>
      </c>
      <c r="F498" s="0" t="n">
        <v>3621</v>
      </c>
      <c r="G498" s="0" t="s">
        <v>140</v>
      </c>
      <c r="H498" s="0" t="n">
        <v>176</v>
      </c>
      <c r="I498" s="0" t="n">
        <v>0</v>
      </c>
      <c r="J498" s="0" t="n">
        <v>0</v>
      </c>
      <c r="K498" s="0" t="n">
        <v>66</v>
      </c>
      <c r="L498" s="0" t="n">
        <v>257</v>
      </c>
      <c r="M498" s="0" t="n">
        <v>286</v>
      </c>
      <c r="N498" s="0" t="n">
        <v>11</v>
      </c>
      <c r="O498" s="0" t="n">
        <v>92</v>
      </c>
      <c r="P498" s="0" t="n">
        <v>25</v>
      </c>
      <c r="Q498" s="114" t="n">
        <v>79</v>
      </c>
      <c r="R498" s="114" t="n">
        <v>81</v>
      </c>
      <c r="S498" s="114" t="n">
        <v>1</v>
      </c>
      <c r="T498" s="114" t="n">
        <v>1.3</v>
      </c>
      <c r="U498" s="114" t="n">
        <v>1.3</v>
      </c>
      <c r="V498" s="0" t="n">
        <v>0</v>
      </c>
      <c r="W498" s="0" t="n">
        <v>3</v>
      </c>
      <c r="X498" s="0" t="n">
        <v>3</v>
      </c>
      <c r="Y498" s="0" t="s">
        <v>121</v>
      </c>
      <c r="Z498" s="0" t="s">
        <v>2124</v>
      </c>
      <c r="AA498" s="0" t="s">
        <v>2125</v>
      </c>
      <c r="AB498" s="114" t="n">
        <v>0</v>
      </c>
      <c r="AC498" s="114" t="n">
        <v>0</v>
      </c>
      <c r="AD498" s="0" t="s">
        <v>58</v>
      </c>
      <c r="AE498" s="0" t="s">
        <v>58</v>
      </c>
      <c r="AF498" s="0" t="s">
        <v>58</v>
      </c>
      <c r="AG498" s="0" t="s">
        <v>58</v>
      </c>
      <c r="AH498" s="0" t="s">
        <v>58</v>
      </c>
      <c r="AI498" s="0" t="s">
        <v>58</v>
      </c>
      <c r="AJ498" s="0" t="s">
        <v>58</v>
      </c>
      <c r="AK498" s="0" t="s">
        <v>58</v>
      </c>
      <c r="AL498" s="0" t="s">
        <v>2382</v>
      </c>
      <c r="AM498" s="0" t="s">
        <v>2383</v>
      </c>
      <c r="AN498" s="0" t="s">
        <v>58</v>
      </c>
      <c r="AO498" s="0" t="s">
        <v>58</v>
      </c>
      <c r="AP498" s="0" t="s">
        <v>2384</v>
      </c>
      <c r="AQ498" s="0" t="s">
        <v>2366</v>
      </c>
      <c r="AR498" s="0" t="s">
        <v>58</v>
      </c>
      <c r="AS498" s="0" t="s">
        <v>58</v>
      </c>
    </row>
    <row r="499" customFormat="false" ht="14.4" hidden="false" customHeight="false" outlineLevel="0" collapsed="false">
      <c r="A499" s="0" t="n">
        <v>377</v>
      </c>
      <c r="B499" s="0" t="s">
        <v>2385</v>
      </c>
      <c r="C499" s="0" t="s">
        <v>437</v>
      </c>
      <c r="D499" s="0" t="s">
        <v>438</v>
      </c>
      <c r="E499" s="0" t="s">
        <v>242</v>
      </c>
      <c r="F499" s="0" t="n">
        <v>4796</v>
      </c>
      <c r="G499" s="0" t="s">
        <v>140</v>
      </c>
      <c r="H499" s="0" t="n">
        <v>182</v>
      </c>
      <c r="I499" s="0" t="n">
        <v>0</v>
      </c>
      <c r="J499" s="0" t="n">
        <v>0</v>
      </c>
      <c r="K499" s="0" t="n">
        <v>83</v>
      </c>
      <c r="L499" s="0" t="n">
        <v>268</v>
      </c>
      <c r="M499" s="0" t="n">
        <v>310</v>
      </c>
      <c r="N499" s="0" t="n">
        <v>11</v>
      </c>
      <c r="O499" s="0" t="n">
        <v>109</v>
      </c>
      <c r="P499" s="0" t="n">
        <v>31</v>
      </c>
      <c r="Q499" s="114" t="n">
        <v>78</v>
      </c>
      <c r="R499" s="114" t="n">
        <v>89</v>
      </c>
      <c r="S499" s="114" t="n">
        <v>1.3</v>
      </c>
      <c r="T499" s="114" t="n">
        <v>1.45</v>
      </c>
      <c r="U499" s="114" t="n">
        <v>0.8</v>
      </c>
      <c r="V499" s="0" t="n">
        <v>3</v>
      </c>
      <c r="W499" s="0" t="n">
        <v>3</v>
      </c>
      <c r="X499" s="0" t="n">
        <v>0</v>
      </c>
      <c r="Y499" s="0" t="s">
        <v>2124</v>
      </c>
      <c r="Z499" s="0" t="s">
        <v>2125</v>
      </c>
      <c r="AA499" s="0" t="s">
        <v>50</v>
      </c>
      <c r="AB499" s="114" t="n">
        <v>0.8</v>
      </c>
      <c r="AC499" s="114" t="n">
        <v>0</v>
      </c>
      <c r="AD499" s="0" t="s">
        <v>2386</v>
      </c>
      <c r="AE499" s="0" t="s">
        <v>2387</v>
      </c>
      <c r="AF499" s="0" t="s">
        <v>58</v>
      </c>
      <c r="AG499" s="0" t="s">
        <v>58</v>
      </c>
      <c r="AH499" s="0" t="s">
        <v>58</v>
      </c>
      <c r="AI499" s="0" t="s">
        <v>58</v>
      </c>
      <c r="AJ499" s="0" t="s">
        <v>58</v>
      </c>
      <c r="AK499" s="0" t="s">
        <v>58</v>
      </c>
      <c r="AL499" s="0" t="s">
        <v>2388</v>
      </c>
      <c r="AM499" s="0" t="s">
        <v>2389</v>
      </c>
      <c r="AN499" s="0" t="s">
        <v>58</v>
      </c>
      <c r="AO499" s="0" t="s">
        <v>58</v>
      </c>
      <c r="AP499" s="0" t="s">
        <v>2390</v>
      </c>
      <c r="AQ499" s="0" t="s">
        <v>2386</v>
      </c>
      <c r="AR499" s="0" t="s">
        <v>58</v>
      </c>
      <c r="AS499" s="0" t="s">
        <v>58</v>
      </c>
    </row>
    <row r="500" customFormat="false" ht="14.4" hidden="false" customHeight="false" outlineLevel="0" collapsed="false">
      <c r="A500" s="0" t="n">
        <v>219</v>
      </c>
      <c r="B500" s="0" t="s">
        <v>2391</v>
      </c>
      <c r="C500" s="0" t="s">
        <v>429</v>
      </c>
      <c r="D500" s="0" t="s">
        <v>472</v>
      </c>
      <c r="E500" s="0" t="s">
        <v>242</v>
      </c>
      <c r="F500" s="0" t="n">
        <v>5204</v>
      </c>
      <c r="G500" s="0" t="s">
        <v>140</v>
      </c>
      <c r="H500" s="0" t="n">
        <v>157</v>
      </c>
      <c r="I500" s="0" t="n">
        <v>0</v>
      </c>
      <c r="J500" s="0" t="n">
        <v>0</v>
      </c>
      <c r="K500" s="0" t="n">
        <v>68</v>
      </c>
      <c r="L500" s="0" t="n">
        <v>247</v>
      </c>
      <c r="M500" s="0" t="n">
        <v>279</v>
      </c>
      <c r="N500" s="0" t="n">
        <v>11</v>
      </c>
      <c r="O500" s="0" t="n">
        <v>79</v>
      </c>
      <c r="P500" s="0" t="n">
        <v>25</v>
      </c>
      <c r="Q500" s="114" t="n">
        <v>80</v>
      </c>
      <c r="R500" s="114" t="n">
        <v>78</v>
      </c>
      <c r="S500" s="114" t="n">
        <v>1</v>
      </c>
      <c r="T500" s="114" t="n">
        <v>1.1</v>
      </c>
      <c r="U500" s="114" t="n">
        <v>1.2</v>
      </c>
      <c r="V500" s="0" t="n">
        <v>2</v>
      </c>
      <c r="W500" s="0" t="n">
        <v>3</v>
      </c>
      <c r="X500" s="0" t="n">
        <v>2</v>
      </c>
      <c r="Y500" s="0" t="s">
        <v>2124</v>
      </c>
      <c r="Z500" s="0" t="s">
        <v>1858</v>
      </c>
      <c r="AA500" s="0" t="s">
        <v>2125</v>
      </c>
      <c r="AB500" s="114" t="n">
        <v>0</v>
      </c>
      <c r="AC500" s="114" t="n">
        <v>0</v>
      </c>
      <c r="AD500" s="0" t="s">
        <v>2378</v>
      </c>
      <c r="AF500" s="0" t="s">
        <v>58</v>
      </c>
      <c r="AG500" s="0" t="s">
        <v>58</v>
      </c>
      <c r="AH500" s="0" t="s">
        <v>58</v>
      </c>
      <c r="AI500" s="0" t="s">
        <v>58</v>
      </c>
      <c r="AJ500" s="0" t="s">
        <v>58</v>
      </c>
      <c r="AK500" s="0" t="s">
        <v>58</v>
      </c>
      <c r="AL500" s="0" t="s">
        <v>2379</v>
      </c>
      <c r="AM500" s="0" t="s">
        <v>58</v>
      </c>
      <c r="AN500" s="0" t="s">
        <v>58</v>
      </c>
      <c r="AO500" s="0" t="s">
        <v>58</v>
      </c>
      <c r="AP500" s="0" t="s">
        <v>2380</v>
      </c>
      <c r="AQ500" s="0" t="s">
        <v>58</v>
      </c>
      <c r="AR500" s="0" t="s">
        <v>58</v>
      </c>
      <c r="AS500" s="0" t="s">
        <v>58</v>
      </c>
    </row>
    <row r="501" customFormat="false" ht="14.4" hidden="false" customHeight="false" outlineLevel="0" collapsed="false">
      <c r="A501" s="0" t="n">
        <v>72</v>
      </c>
      <c r="B501" s="0" t="s">
        <v>2392</v>
      </c>
      <c r="C501" s="0" t="s">
        <v>437</v>
      </c>
      <c r="D501" s="0" t="s">
        <v>527</v>
      </c>
      <c r="E501" s="0" t="s">
        <v>242</v>
      </c>
      <c r="F501" s="0" t="n">
        <v>4460</v>
      </c>
      <c r="G501" s="0" t="s">
        <v>140</v>
      </c>
      <c r="H501" s="0" t="n">
        <v>123</v>
      </c>
      <c r="I501" s="0" t="n">
        <v>0</v>
      </c>
      <c r="J501" s="0" t="n">
        <v>0</v>
      </c>
      <c r="K501" s="0" t="n">
        <v>80</v>
      </c>
      <c r="L501" s="0" t="n">
        <v>245</v>
      </c>
      <c r="M501" s="0" t="n">
        <v>204</v>
      </c>
      <c r="N501" s="0" t="n">
        <v>9</v>
      </c>
      <c r="O501" s="0" t="n">
        <v>95</v>
      </c>
      <c r="P501" s="0" t="n">
        <v>15</v>
      </c>
      <c r="Q501" s="114" t="n">
        <v>32</v>
      </c>
      <c r="R501" s="114" t="n">
        <v>81</v>
      </c>
      <c r="S501" s="114" t="n">
        <v>1.3</v>
      </c>
      <c r="T501" s="114" t="n">
        <v>1.3</v>
      </c>
      <c r="U501" s="114" t="n">
        <v>0.8</v>
      </c>
      <c r="V501" s="0" t="n">
        <v>3</v>
      </c>
      <c r="W501" s="0" t="n">
        <v>3</v>
      </c>
      <c r="X501" s="0" t="n">
        <v>2</v>
      </c>
      <c r="Y501" s="0" t="s">
        <v>2124</v>
      </c>
      <c r="Z501" s="0" t="s">
        <v>2124</v>
      </c>
      <c r="AA501" s="0" t="s">
        <v>1858</v>
      </c>
      <c r="AB501" s="114" t="n">
        <v>0</v>
      </c>
      <c r="AC501" s="114" t="n">
        <v>0</v>
      </c>
      <c r="AD501" s="0" t="s">
        <v>58</v>
      </c>
      <c r="AE501" s="0" t="s">
        <v>58</v>
      </c>
      <c r="AF501" s="0" t="s">
        <v>58</v>
      </c>
      <c r="AG501" s="0" t="s">
        <v>58</v>
      </c>
      <c r="AH501" s="0" t="s">
        <v>58</v>
      </c>
      <c r="AI501" s="0" t="s">
        <v>58</v>
      </c>
      <c r="AJ501" s="0" t="s">
        <v>58</v>
      </c>
      <c r="AK501" s="0" t="s">
        <v>58</v>
      </c>
      <c r="AL501" s="0" t="s">
        <v>2382</v>
      </c>
      <c r="AM501" s="0" t="s">
        <v>58</v>
      </c>
      <c r="AN501" s="0" t="s">
        <v>58</v>
      </c>
      <c r="AO501" s="0" t="s">
        <v>58</v>
      </c>
      <c r="AP501" s="0" t="s">
        <v>2384</v>
      </c>
      <c r="AQ501" s="0" t="s">
        <v>58</v>
      </c>
      <c r="AR501" s="0" t="s">
        <v>58</v>
      </c>
      <c r="AS501" s="0" t="s">
        <v>58</v>
      </c>
    </row>
    <row r="502" customFormat="false" ht="14.4" hidden="false" customHeight="false" outlineLevel="0" collapsed="false">
      <c r="A502" s="0" t="n">
        <v>3072</v>
      </c>
      <c r="B502" s="0" t="s">
        <v>2393</v>
      </c>
      <c r="C502" s="0" t="s">
        <v>437</v>
      </c>
      <c r="D502" s="0" t="s">
        <v>472</v>
      </c>
      <c r="E502" s="0" t="s">
        <v>242</v>
      </c>
      <c r="F502" s="0" t="n">
        <v>4700</v>
      </c>
      <c r="G502" s="0" t="s">
        <v>140</v>
      </c>
      <c r="H502" s="0" t="n">
        <v>128</v>
      </c>
      <c r="I502" s="0" t="n">
        <v>0</v>
      </c>
      <c r="J502" s="0" t="n">
        <v>0</v>
      </c>
      <c r="K502" s="0" t="n">
        <v>80</v>
      </c>
      <c r="L502" s="0" t="n">
        <v>280</v>
      </c>
      <c r="M502" s="0" t="n">
        <v>264</v>
      </c>
      <c r="N502" s="0" t="n">
        <v>9</v>
      </c>
      <c r="O502" s="0" t="n">
        <v>95</v>
      </c>
      <c r="P502" s="0" t="n">
        <v>15</v>
      </c>
      <c r="Q502" s="114" t="n">
        <v>32</v>
      </c>
      <c r="R502" s="114" t="n">
        <v>81</v>
      </c>
      <c r="S502" s="114" t="n">
        <v>1.45</v>
      </c>
      <c r="T502" s="114" t="n">
        <v>1.45</v>
      </c>
      <c r="U502" s="114" t="n">
        <v>0.85</v>
      </c>
      <c r="V502" s="0" t="n">
        <v>3</v>
      </c>
      <c r="W502" s="0" t="n">
        <v>3</v>
      </c>
      <c r="X502" s="0" t="n">
        <v>2</v>
      </c>
      <c r="Y502" s="0" t="s">
        <v>2124</v>
      </c>
      <c r="Z502" s="0" t="s">
        <v>2124</v>
      </c>
      <c r="AA502" s="0" t="s">
        <v>1858</v>
      </c>
      <c r="AB502" s="114" t="n">
        <v>0</v>
      </c>
      <c r="AC502" s="114" t="n">
        <v>0</v>
      </c>
      <c r="AD502" s="0" t="s">
        <v>58</v>
      </c>
      <c r="AE502" s="0" t="s">
        <v>58</v>
      </c>
      <c r="AF502" s="0" t="s">
        <v>58</v>
      </c>
      <c r="AG502" s="0" t="s">
        <v>58</v>
      </c>
      <c r="AH502" s="0" t="s">
        <v>58</v>
      </c>
      <c r="AI502" s="0" t="s">
        <v>58</v>
      </c>
      <c r="AJ502" s="0" t="s">
        <v>58</v>
      </c>
      <c r="AK502" s="0" t="s">
        <v>58</v>
      </c>
      <c r="AL502" s="0" t="s">
        <v>2382</v>
      </c>
      <c r="AM502" s="0" t="s">
        <v>2394</v>
      </c>
      <c r="AN502" s="0" t="s">
        <v>58</v>
      </c>
      <c r="AO502" s="0" t="s">
        <v>58</v>
      </c>
      <c r="AP502" s="0" t="s">
        <v>2384</v>
      </c>
      <c r="AQ502" s="0" t="s">
        <v>2395</v>
      </c>
      <c r="AR502" s="0" t="s">
        <v>58</v>
      </c>
      <c r="AS502" s="0" t="s">
        <v>58</v>
      </c>
    </row>
    <row r="503" customFormat="false" ht="14.4" hidden="false" customHeight="false" outlineLevel="0" collapsed="false">
      <c r="A503" s="0" t="n">
        <v>70</v>
      </c>
      <c r="B503" s="0" t="s">
        <v>2396</v>
      </c>
      <c r="C503" s="0" t="s">
        <v>437</v>
      </c>
      <c r="D503" s="0" t="s">
        <v>472</v>
      </c>
      <c r="E503" s="0" t="s">
        <v>242</v>
      </c>
      <c r="F503" s="0" t="n">
        <v>4691</v>
      </c>
      <c r="G503" s="0" t="s">
        <v>140</v>
      </c>
      <c r="H503" s="0" t="n">
        <v>182</v>
      </c>
      <c r="I503" s="0" t="n">
        <v>0</v>
      </c>
      <c r="J503" s="0" t="n">
        <v>0</v>
      </c>
      <c r="K503" s="0" t="n">
        <v>66</v>
      </c>
      <c r="L503" s="0" t="n">
        <v>257</v>
      </c>
      <c r="M503" s="0" t="n">
        <v>280</v>
      </c>
      <c r="N503" s="0" t="n">
        <v>10</v>
      </c>
      <c r="O503" s="0" t="n">
        <v>100</v>
      </c>
      <c r="P503" s="0" t="n">
        <v>16</v>
      </c>
      <c r="Q503" s="114" t="n">
        <v>68</v>
      </c>
      <c r="R503" s="114" t="n">
        <v>86</v>
      </c>
      <c r="S503" s="114" t="n">
        <v>1.3</v>
      </c>
      <c r="T503" s="114" t="n">
        <v>1.3</v>
      </c>
      <c r="U503" s="114" t="n">
        <v>0.8</v>
      </c>
      <c r="V503" s="0" t="n">
        <v>3</v>
      </c>
      <c r="W503" s="0" t="n">
        <v>3</v>
      </c>
      <c r="X503" s="0" t="n">
        <v>0</v>
      </c>
      <c r="Y503" s="0" t="s">
        <v>2124</v>
      </c>
      <c r="Z503" s="0" t="s">
        <v>1858</v>
      </c>
      <c r="AA503" s="0" t="s">
        <v>50</v>
      </c>
      <c r="AB503" s="114" t="n">
        <v>0.8</v>
      </c>
      <c r="AC503" s="114" t="n">
        <v>0</v>
      </c>
      <c r="AD503" s="0" t="s">
        <v>58</v>
      </c>
      <c r="AE503" s="0" t="s">
        <v>58</v>
      </c>
      <c r="AF503" s="0" t="s">
        <v>58</v>
      </c>
      <c r="AG503" s="0" t="s">
        <v>58</v>
      </c>
      <c r="AH503" s="0" t="s">
        <v>58</v>
      </c>
      <c r="AI503" s="0" t="s">
        <v>58</v>
      </c>
      <c r="AJ503" s="0" t="s">
        <v>58</v>
      </c>
      <c r="AK503" s="0" t="s">
        <v>58</v>
      </c>
      <c r="AL503" s="0" t="s">
        <v>2346</v>
      </c>
      <c r="AM503" s="0" t="s">
        <v>58</v>
      </c>
      <c r="AN503" s="0" t="s">
        <v>58</v>
      </c>
      <c r="AO503" s="0" t="s">
        <v>58</v>
      </c>
      <c r="AP503" s="0" t="s">
        <v>2347</v>
      </c>
      <c r="AQ503" s="0" t="s">
        <v>58</v>
      </c>
      <c r="AR503" s="0" t="s">
        <v>58</v>
      </c>
      <c r="AS503" s="0" t="s">
        <v>58</v>
      </c>
    </row>
    <row r="504" customFormat="false" ht="14.4" hidden="false" customHeight="false" outlineLevel="0" collapsed="false">
      <c r="A504" s="0" t="n">
        <v>3070</v>
      </c>
      <c r="B504" s="0" t="s">
        <v>2397</v>
      </c>
      <c r="C504" s="0" t="s">
        <v>437</v>
      </c>
      <c r="D504" s="0" t="s">
        <v>438</v>
      </c>
      <c r="E504" s="0" t="s">
        <v>242</v>
      </c>
      <c r="F504" s="0" t="n">
        <v>4901</v>
      </c>
      <c r="G504" s="0" t="s">
        <v>140</v>
      </c>
      <c r="H504" s="0" t="n">
        <v>187</v>
      </c>
      <c r="I504" s="0" t="n">
        <v>0</v>
      </c>
      <c r="J504" s="0" t="n">
        <v>0</v>
      </c>
      <c r="K504" s="0" t="n">
        <v>66</v>
      </c>
      <c r="L504" s="0" t="n">
        <v>292</v>
      </c>
      <c r="M504" s="0" t="n">
        <v>340</v>
      </c>
      <c r="N504" s="0" t="n">
        <v>10</v>
      </c>
      <c r="O504" s="0" t="n">
        <v>100</v>
      </c>
      <c r="P504" s="0" t="n">
        <v>16</v>
      </c>
      <c r="Q504" s="114" t="n">
        <v>68</v>
      </c>
      <c r="R504" s="114" t="n">
        <v>86</v>
      </c>
      <c r="S504" s="114" t="n">
        <v>1.45</v>
      </c>
      <c r="T504" s="114" t="n">
        <v>1.3</v>
      </c>
      <c r="U504" s="114" t="n">
        <v>0.85</v>
      </c>
      <c r="V504" s="0" t="n">
        <v>3</v>
      </c>
      <c r="W504" s="0" t="n">
        <v>3</v>
      </c>
      <c r="X504" s="0" t="n">
        <v>0</v>
      </c>
      <c r="Y504" s="0" t="s">
        <v>2124</v>
      </c>
      <c r="Z504" s="0" t="s">
        <v>1858</v>
      </c>
      <c r="AA504" s="0" t="s">
        <v>50</v>
      </c>
      <c r="AB504" s="114" t="n">
        <v>0.85</v>
      </c>
      <c r="AC504" s="114" t="n">
        <v>0</v>
      </c>
      <c r="AD504" s="0" t="s">
        <v>58</v>
      </c>
      <c r="AE504" s="0" t="s">
        <v>58</v>
      </c>
      <c r="AF504" s="0" t="s">
        <v>58</v>
      </c>
      <c r="AG504" s="0" t="s">
        <v>58</v>
      </c>
      <c r="AH504" s="0" t="s">
        <v>58</v>
      </c>
      <c r="AI504" s="0" t="s">
        <v>58</v>
      </c>
      <c r="AJ504" s="0" t="s">
        <v>58</v>
      </c>
      <c r="AK504" s="0" t="s">
        <v>58</v>
      </c>
      <c r="AL504" s="0" t="s">
        <v>2346</v>
      </c>
      <c r="AM504" s="0" t="s">
        <v>2398</v>
      </c>
      <c r="AN504" s="0" t="s">
        <v>58</v>
      </c>
      <c r="AO504" s="0" t="s">
        <v>58</v>
      </c>
      <c r="AP504" s="0" t="s">
        <v>2347</v>
      </c>
      <c r="AQ504" s="0" t="s">
        <v>2366</v>
      </c>
      <c r="AR504" s="0" t="s">
        <v>58</v>
      </c>
      <c r="AS504" s="0" t="s">
        <v>58</v>
      </c>
    </row>
    <row r="505" customFormat="false" ht="14.4" hidden="false" customHeight="false" outlineLevel="0" collapsed="false">
      <c r="A505" s="0" t="s">
        <v>2399</v>
      </c>
      <c r="B505" s="0" t="s">
        <v>2400</v>
      </c>
      <c r="C505" s="0" t="s">
        <v>925</v>
      </c>
      <c r="D505" s="0" t="s">
        <v>438</v>
      </c>
      <c r="E505" s="0" t="s">
        <v>242</v>
      </c>
      <c r="F505" s="0" t="n">
        <v>5178</v>
      </c>
      <c r="G505" s="0" t="s">
        <v>138</v>
      </c>
      <c r="H505" s="0" t="n">
        <v>174</v>
      </c>
      <c r="I505" s="0" t="n">
        <v>0</v>
      </c>
      <c r="J505" s="0" t="n">
        <v>0</v>
      </c>
      <c r="K505" s="0" t="n">
        <v>68</v>
      </c>
      <c r="L505" s="0" t="n">
        <v>255</v>
      </c>
      <c r="M505" s="0" t="n">
        <v>311</v>
      </c>
      <c r="N505" s="0" t="n">
        <v>10</v>
      </c>
      <c r="O505" s="0" t="n">
        <v>72</v>
      </c>
      <c r="P505" s="0" t="n">
        <v>26</v>
      </c>
      <c r="Q505" s="0" t="n">
        <v>85</v>
      </c>
      <c r="R505" s="0" t="n">
        <v>81</v>
      </c>
      <c r="S505" s="114" t="n">
        <v>1.3</v>
      </c>
      <c r="T505" s="114" t="n">
        <v>1.25</v>
      </c>
      <c r="U505" s="114" t="n">
        <v>1</v>
      </c>
      <c r="V505" s="0" t="n">
        <v>3</v>
      </c>
      <c r="W505" s="0" t="n">
        <v>3</v>
      </c>
      <c r="X505" s="0" t="n">
        <v>0</v>
      </c>
      <c r="Y505" s="0" t="s">
        <v>2124</v>
      </c>
      <c r="Z505" s="0" t="s">
        <v>2125</v>
      </c>
      <c r="AA505" s="0" t="s">
        <v>50</v>
      </c>
      <c r="AB505" s="114" t="n">
        <v>1</v>
      </c>
      <c r="AC505" s="114" t="n">
        <v>0</v>
      </c>
      <c r="AD505" s="161" t="s">
        <v>2401</v>
      </c>
      <c r="AE505" s="0" t="s">
        <v>58</v>
      </c>
      <c r="AF505" s="0" t="s">
        <v>58</v>
      </c>
      <c r="AG505" s="0" t="s">
        <v>58</v>
      </c>
      <c r="AH505" s="0" t="s">
        <v>58</v>
      </c>
      <c r="AI505" s="0" t="s">
        <v>58</v>
      </c>
      <c r="AJ505" s="0" t="s">
        <v>58</v>
      </c>
      <c r="AK505" s="0" t="s">
        <v>58</v>
      </c>
      <c r="AL505" s="0" t="s">
        <v>2402</v>
      </c>
      <c r="AM505" s="0" t="s">
        <v>2403</v>
      </c>
      <c r="AN505" s="0" t="s">
        <v>58</v>
      </c>
      <c r="AO505" s="0" t="s">
        <v>58</v>
      </c>
      <c r="AP505" s="0" t="s">
        <v>2404</v>
      </c>
      <c r="AQ505" s="0" t="s">
        <v>2401</v>
      </c>
      <c r="AR505" s="0" t="s">
        <v>58</v>
      </c>
      <c r="AS505" s="0" t="s">
        <v>58</v>
      </c>
    </row>
    <row r="506" customFormat="false" ht="14.4" hidden="false" customHeight="false" outlineLevel="0" collapsed="false">
      <c r="B506" s="0" t="s">
        <v>2405</v>
      </c>
      <c r="C506" s="0" t="s">
        <v>471</v>
      </c>
      <c r="D506" s="0" t="s">
        <v>430</v>
      </c>
      <c r="E506" s="0" t="s">
        <v>242</v>
      </c>
      <c r="F506" s="0" t="n">
        <v>5540</v>
      </c>
      <c r="G506" s="0" t="s">
        <v>140</v>
      </c>
      <c r="H506" s="0" t="n">
        <v>207</v>
      </c>
      <c r="I506" s="0" t="n">
        <v>0</v>
      </c>
      <c r="J506" s="0" t="n">
        <v>0</v>
      </c>
      <c r="K506" s="0" t="n">
        <v>71</v>
      </c>
      <c r="L506" s="0" t="n">
        <v>264</v>
      </c>
      <c r="M506" s="0" t="n">
        <v>327</v>
      </c>
      <c r="N506" s="0" t="n">
        <v>11</v>
      </c>
      <c r="O506" s="0" t="n">
        <v>144</v>
      </c>
      <c r="P506" s="0" t="n">
        <v>25</v>
      </c>
      <c r="Q506" s="0" t="n">
        <v>82</v>
      </c>
      <c r="R506" s="0" t="n">
        <v>87</v>
      </c>
      <c r="S506" s="114" t="n">
        <v>1</v>
      </c>
      <c r="T506" s="114" t="n">
        <v>1</v>
      </c>
      <c r="U506" s="114" t="n">
        <v>1.1</v>
      </c>
      <c r="V506" s="0" t="n">
        <v>3</v>
      </c>
      <c r="W506" s="0" t="n">
        <v>3</v>
      </c>
      <c r="X506" s="0" t="n">
        <v>0</v>
      </c>
      <c r="Y506" s="0" t="s">
        <v>2124</v>
      </c>
      <c r="Z506" s="0" t="s">
        <v>1858</v>
      </c>
      <c r="AA506" s="0" t="s">
        <v>50</v>
      </c>
      <c r="AB506" s="114" t="n">
        <v>1.1</v>
      </c>
      <c r="AC506" s="114" t="n">
        <v>0</v>
      </c>
      <c r="AD506" s="0" t="s">
        <v>2406</v>
      </c>
      <c r="AE506" s="0" t="s">
        <v>2407</v>
      </c>
      <c r="AF506" s="0" t="s">
        <v>2408</v>
      </c>
    </row>
    <row r="507" customFormat="false" ht="14.4" hidden="false" customHeight="false" outlineLevel="0" collapsed="false">
      <c r="A507" s="0" t="n">
        <v>75</v>
      </c>
      <c r="B507" s="0" t="s">
        <v>2409</v>
      </c>
      <c r="C507" s="0" t="s">
        <v>437</v>
      </c>
      <c r="D507" s="0" t="s">
        <v>527</v>
      </c>
      <c r="E507" s="0" t="s">
        <v>242</v>
      </c>
      <c r="F507" s="0" t="n">
        <v>4779</v>
      </c>
      <c r="G507" s="0" t="s">
        <v>140</v>
      </c>
      <c r="H507" s="0" t="n">
        <v>131</v>
      </c>
      <c r="I507" s="0" t="n">
        <v>0</v>
      </c>
      <c r="J507" s="0" t="n">
        <v>0</v>
      </c>
      <c r="K507" s="0" t="n">
        <v>73</v>
      </c>
      <c r="L507" s="0" t="n">
        <v>248</v>
      </c>
      <c r="M507" s="0" t="n">
        <v>240</v>
      </c>
      <c r="N507" s="0" t="n">
        <v>9</v>
      </c>
      <c r="O507" s="0" t="n">
        <v>107</v>
      </c>
      <c r="P507" s="0" t="n">
        <v>29</v>
      </c>
      <c r="Q507" s="114" t="n">
        <v>71</v>
      </c>
      <c r="R507" s="114" t="n">
        <v>89</v>
      </c>
      <c r="S507" s="114" t="n">
        <v>1</v>
      </c>
      <c r="T507" s="114" t="n">
        <v>1.3</v>
      </c>
      <c r="U507" s="114" t="n">
        <v>1.3</v>
      </c>
      <c r="V507" s="0" t="n">
        <v>2</v>
      </c>
      <c r="W507" s="0" t="n">
        <v>3</v>
      </c>
      <c r="X507" s="0" t="n">
        <v>3</v>
      </c>
      <c r="Y507" s="0" t="s">
        <v>2125</v>
      </c>
      <c r="Z507" s="0" t="s">
        <v>1858</v>
      </c>
      <c r="AA507" s="0" t="s">
        <v>1858</v>
      </c>
      <c r="AB507" s="114" t="n">
        <v>0</v>
      </c>
      <c r="AC507" s="114" t="n">
        <v>0</v>
      </c>
      <c r="AD507" s="0" t="s">
        <v>58</v>
      </c>
      <c r="AE507" s="0" t="s">
        <v>58</v>
      </c>
      <c r="AF507" s="0" t="s">
        <v>58</v>
      </c>
      <c r="AG507" s="0" t="s">
        <v>58</v>
      </c>
      <c r="AH507" s="0" t="s">
        <v>58</v>
      </c>
      <c r="AI507" s="0" t="s">
        <v>58</v>
      </c>
      <c r="AJ507" s="0" t="s">
        <v>58</v>
      </c>
      <c r="AK507" s="0" t="s">
        <v>58</v>
      </c>
      <c r="AL507" s="0" t="s">
        <v>2346</v>
      </c>
      <c r="AM507" s="0" t="s">
        <v>58</v>
      </c>
      <c r="AN507" s="0" t="s">
        <v>58</v>
      </c>
      <c r="AO507" s="0" t="s">
        <v>58</v>
      </c>
      <c r="AP507" s="0" t="s">
        <v>2347</v>
      </c>
      <c r="AQ507" s="0" t="s">
        <v>58</v>
      </c>
      <c r="AR507" s="0" t="s">
        <v>58</v>
      </c>
      <c r="AS507" s="0" t="s">
        <v>58</v>
      </c>
    </row>
    <row r="508" customFormat="false" ht="14.4" hidden="false" customHeight="false" outlineLevel="0" collapsed="false">
      <c r="A508" s="0" t="n">
        <v>3075</v>
      </c>
      <c r="B508" s="0" t="s">
        <v>2410</v>
      </c>
      <c r="C508" s="0" t="s">
        <v>437</v>
      </c>
      <c r="D508" s="0" t="s">
        <v>472</v>
      </c>
      <c r="E508" s="0" t="s">
        <v>242</v>
      </c>
      <c r="F508" s="0" t="n">
        <v>5019</v>
      </c>
      <c r="G508" s="0" t="s">
        <v>140</v>
      </c>
      <c r="H508" s="0" t="n">
        <v>136</v>
      </c>
      <c r="I508" s="0" t="n">
        <v>0</v>
      </c>
      <c r="J508" s="0" t="n">
        <v>0</v>
      </c>
      <c r="K508" s="0" t="n">
        <v>73</v>
      </c>
      <c r="L508" s="0" t="n">
        <v>283</v>
      </c>
      <c r="M508" s="0" t="n">
        <v>300</v>
      </c>
      <c r="N508" s="0" t="n">
        <v>9</v>
      </c>
      <c r="O508" s="0" t="n">
        <v>107</v>
      </c>
      <c r="P508" s="0" t="n">
        <v>29</v>
      </c>
      <c r="Q508" s="114" t="n">
        <v>71</v>
      </c>
      <c r="R508" s="114" t="n">
        <v>89</v>
      </c>
      <c r="S508" s="114" t="n">
        <v>1.05</v>
      </c>
      <c r="T508" s="114" t="n">
        <v>1.45</v>
      </c>
      <c r="U508" s="114" t="n">
        <v>1.45</v>
      </c>
      <c r="V508" s="0" t="n">
        <v>2</v>
      </c>
      <c r="W508" s="0" t="n">
        <v>3</v>
      </c>
      <c r="X508" s="0" t="n">
        <v>3</v>
      </c>
      <c r="Y508" s="0" t="s">
        <v>2125</v>
      </c>
      <c r="Z508" s="0" t="s">
        <v>1858</v>
      </c>
      <c r="AA508" s="0" t="s">
        <v>1858</v>
      </c>
      <c r="AB508" s="114" t="n">
        <v>0</v>
      </c>
      <c r="AC508" s="114" t="n">
        <v>0</v>
      </c>
      <c r="AD508" s="0" t="s">
        <v>58</v>
      </c>
      <c r="AE508" s="0" t="s">
        <v>58</v>
      </c>
      <c r="AF508" s="0" t="s">
        <v>58</v>
      </c>
      <c r="AG508" s="0" t="s">
        <v>58</v>
      </c>
      <c r="AH508" s="0" t="s">
        <v>58</v>
      </c>
      <c r="AI508" s="0" t="s">
        <v>58</v>
      </c>
      <c r="AJ508" s="0" t="s">
        <v>58</v>
      </c>
      <c r="AK508" s="0" t="s">
        <v>58</v>
      </c>
      <c r="AL508" s="0" t="s">
        <v>2346</v>
      </c>
      <c r="AM508" s="0" t="s">
        <v>2150</v>
      </c>
      <c r="AN508" s="0" t="s">
        <v>58</v>
      </c>
      <c r="AO508" s="0" t="s">
        <v>58</v>
      </c>
      <c r="AP508" s="0" t="s">
        <v>2347</v>
      </c>
      <c r="AQ508" s="0" t="s">
        <v>2151</v>
      </c>
      <c r="AR508" s="0" t="s">
        <v>58</v>
      </c>
      <c r="AS508" s="0" t="s">
        <v>58</v>
      </c>
    </row>
    <row r="509" customFormat="false" ht="14.4" hidden="false" customHeight="false" outlineLevel="0" collapsed="false">
      <c r="A509" s="0" t="n">
        <v>426</v>
      </c>
      <c r="B509" s="0" t="s">
        <v>2411</v>
      </c>
      <c r="C509" s="0" t="s">
        <v>429</v>
      </c>
      <c r="D509" s="0" t="s">
        <v>430</v>
      </c>
      <c r="E509" s="0" t="s">
        <v>242</v>
      </c>
      <c r="F509" s="0" t="n">
        <v>4986</v>
      </c>
      <c r="G509" s="0" t="s">
        <v>140</v>
      </c>
      <c r="H509" s="0" t="n">
        <v>189</v>
      </c>
      <c r="I509" s="0" t="n">
        <v>0</v>
      </c>
      <c r="J509" s="0" t="n">
        <v>0</v>
      </c>
      <c r="K509" s="0" t="n">
        <v>69</v>
      </c>
      <c r="L509" s="0" t="n">
        <v>276</v>
      </c>
      <c r="M509" s="0" t="n">
        <v>317</v>
      </c>
      <c r="N509" s="0" t="n">
        <v>13</v>
      </c>
      <c r="O509" s="0" t="n">
        <v>112</v>
      </c>
      <c r="P509" s="0" t="n">
        <v>26</v>
      </c>
      <c r="Q509" s="0" t="n">
        <v>70</v>
      </c>
      <c r="R509" s="0" t="n">
        <v>84</v>
      </c>
      <c r="S509" s="114" t="n">
        <v>1.3</v>
      </c>
      <c r="T509" s="114" t="n">
        <v>1.45</v>
      </c>
      <c r="U509" s="114" t="n">
        <v>0.8</v>
      </c>
      <c r="V509" s="0" t="n">
        <v>3</v>
      </c>
      <c r="W509" s="0" t="n">
        <v>3</v>
      </c>
      <c r="X509" s="0" t="n">
        <v>0</v>
      </c>
      <c r="Y509" s="0" t="s">
        <v>2124</v>
      </c>
      <c r="Z509" s="0" t="s">
        <v>2125</v>
      </c>
      <c r="AA509" s="0" t="s">
        <v>50</v>
      </c>
      <c r="AB509" s="114" t="n">
        <v>0.8</v>
      </c>
      <c r="AC509" s="114" t="n">
        <v>0</v>
      </c>
      <c r="AD509" s="0" t="s">
        <v>58</v>
      </c>
      <c r="AE509" s="0" t="s">
        <v>58</v>
      </c>
      <c r="AF509" s="0" t="s">
        <v>58</v>
      </c>
      <c r="AG509" s="0" t="s">
        <v>58</v>
      </c>
      <c r="AH509" s="0" t="s">
        <v>58</v>
      </c>
      <c r="AI509" s="0" t="s">
        <v>58</v>
      </c>
      <c r="AJ509" s="0" t="s">
        <v>58</v>
      </c>
      <c r="AK509" s="0" t="s">
        <v>58</v>
      </c>
      <c r="AL509" s="0" t="s">
        <v>2412</v>
      </c>
      <c r="AM509" s="0" t="s">
        <v>2413</v>
      </c>
      <c r="AN509" s="0" t="s">
        <v>58</v>
      </c>
      <c r="AO509" s="0" t="s">
        <v>58</v>
      </c>
      <c r="AP509" s="0" t="s">
        <v>2414</v>
      </c>
      <c r="AQ509" s="0" t="s">
        <v>2415</v>
      </c>
      <c r="AR509" s="0" t="s">
        <v>58</v>
      </c>
      <c r="AS509" s="0" t="s">
        <v>58</v>
      </c>
    </row>
    <row r="510" customFormat="false" ht="14.4" hidden="false" customHeight="false" outlineLevel="0" collapsed="false">
      <c r="A510" s="0" t="n">
        <v>223</v>
      </c>
      <c r="B510" s="0" t="s">
        <v>2416</v>
      </c>
      <c r="C510" s="0" t="s">
        <v>429</v>
      </c>
      <c r="D510" s="0" t="s">
        <v>438</v>
      </c>
      <c r="E510" s="0" t="s">
        <v>242</v>
      </c>
      <c r="F510" s="0" t="n">
        <v>4278</v>
      </c>
      <c r="G510" s="0" t="s">
        <v>140</v>
      </c>
      <c r="H510" s="0" t="n">
        <v>179</v>
      </c>
      <c r="I510" s="0" t="n">
        <v>0</v>
      </c>
      <c r="J510" s="0" t="n">
        <v>0</v>
      </c>
      <c r="K510" s="0" t="n">
        <v>82</v>
      </c>
      <c r="L510" s="0" t="n">
        <v>252</v>
      </c>
      <c r="M510" s="0" t="n">
        <v>347</v>
      </c>
      <c r="N510" s="0" t="n">
        <v>11</v>
      </c>
      <c r="O510" s="0" t="n">
        <v>72</v>
      </c>
      <c r="P510" s="0" t="n">
        <v>28</v>
      </c>
      <c r="Q510" s="114" t="n">
        <v>42</v>
      </c>
      <c r="R510" s="114" t="n">
        <v>89</v>
      </c>
      <c r="S510" s="114" t="n">
        <v>1.3</v>
      </c>
      <c r="T510" s="114" t="n">
        <v>1.45</v>
      </c>
      <c r="U510" s="114" t="n">
        <v>0.8</v>
      </c>
      <c r="V510" s="0" t="n">
        <v>3</v>
      </c>
      <c r="W510" s="0" t="n">
        <v>3</v>
      </c>
      <c r="X510" s="0" t="n">
        <v>0</v>
      </c>
      <c r="Y510" s="0" t="s">
        <v>2124</v>
      </c>
      <c r="Z510" s="0" t="s">
        <v>2125</v>
      </c>
      <c r="AA510" s="0" t="s">
        <v>50</v>
      </c>
      <c r="AB510" s="114" t="n">
        <v>0.8</v>
      </c>
      <c r="AC510" s="114" t="n">
        <v>0</v>
      </c>
      <c r="AD510" s="0" t="s">
        <v>2417</v>
      </c>
      <c r="AE510" s="0" t="s">
        <v>2418</v>
      </c>
      <c r="AF510" s="0" t="s">
        <v>58</v>
      </c>
      <c r="AG510" s="0" t="s">
        <v>58</v>
      </c>
      <c r="AH510" s="0" t="s">
        <v>58</v>
      </c>
      <c r="AI510" s="0" t="s">
        <v>58</v>
      </c>
      <c r="AJ510" s="0" t="s">
        <v>58</v>
      </c>
      <c r="AK510" s="0" t="s">
        <v>58</v>
      </c>
      <c r="AL510" s="0" t="s">
        <v>2419</v>
      </c>
      <c r="AM510" s="0" t="s">
        <v>2420</v>
      </c>
      <c r="AN510" s="0" t="s">
        <v>58</v>
      </c>
      <c r="AO510" s="0" t="s">
        <v>58</v>
      </c>
      <c r="AP510" s="0" t="s">
        <v>2421</v>
      </c>
      <c r="AQ510" s="0" t="s">
        <v>2422</v>
      </c>
      <c r="AR510" s="0" t="s">
        <v>58</v>
      </c>
      <c r="AS510" s="0" t="s">
        <v>58</v>
      </c>
    </row>
    <row r="511" customFormat="false" ht="14.4" hidden="false" customHeight="false" outlineLevel="0" collapsed="false">
      <c r="A511" s="0" t="s">
        <v>2423</v>
      </c>
      <c r="B511" s="0" t="s">
        <v>2424</v>
      </c>
      <c r="C511" s="0" t="s">
        <v>934</v>
      </c>
      <c r="D511" s="0" t="s">
        <v>438</v>
      </c>
      <c r="E511" s="0" t="s">
        <v>242</v>
      </c>
      <c r="F511" s="0" t="n">
        <v>4472</v>
      </c>
      <c r="G511" s="0" t="s">
        <v>138</v>
      </c>
      <c r="H511" s="0" t="n">
        <v>156</v>
      </c>
      <c r="I511" s="0" t="n">
        <v>0</v>
      </c>
      <c r="J511" s="0" t="n">
        <v>0</v>
      </c>
      <c r="K511" s="0" t="n">
        <v>53</v>
      </c>
      <c r="L511" s="0" t="n">
        <v>255</v>
      </c>
      <c r="M511" s="0" t="n">
        <v>237</v>
      </c>
      <c r="N511" s="0" t="n">
        <v>11</v>
      </c>
      <c r="O511" s="0" t="n">
        <v>72</v>
      </c>
      <c r="P511" s="0" t="n">
        <v>26</v>
      </c>
      <c r="Q511" s="114" t="n">
        <v>96</v>
      </c>
      <c r="R511" s="114" t="n">
        <v>77</v>
      </c>
      <c r="S511" s="114" t="n">
        <v>1.3</v>
      </c>
      <c r="T511" s="114" t="n">
        <v>1.25</v>
      </c>
      <c r="U511" s="114" t="n">
        <v>0.8</v>
      </c>
      <c r="V511" s="0" t="n">
        <v>3</v>
      </c>
      <c r="W511" s="0" t="n">
        <v>3</v>
      </c>
      <c r="X511" s="0" t="n">
        <v>0</v>
      </c>
      <c r="Y511" s="0" t="s">
        <v>2124</v>
      </c>
      <c r="Z511" s="0" t="s">
        <v>2125</v>
      </c>
      <c r="AA511" s="0" t="s">
        <v>50</v>
      </c>
      <c r="AB511" s="114" t="n">
        <v>0.8</v>
      </c>
      <c r="AC511" s="114" t="n">
        <v>0</v>
      </c>
      <c r="AD511" s="0" t="s">
        <v>2425</v>
      </c>
      <c r="AE511" s="0" t="s">
        <v>58</v>
      </c>
      <c r="AF511" s="0" t="s">
        <v>58</v>
      </c>
      <c r="AG511" s="0" t="s">
        <v>58</v>
      </c>
      <c r="AH511" s="0" t="s">
        <v>58</v>
      </c>
      <c r="AI511" s="0" t="s">
        <v>58</v>
      </c>
      <c r="AJ511" s="0" t="s">
        <v>58</v>
      </c>
      <c r="AK511" s="0" t="s">
        <v>58</v>
      </c>
      <c r="AL511" s="0" t="s">
        <v>2426</v>
      </c>
      <c r="AM511" s="0" t="s">
        <v>2427</v>
      </c>
      <c r="AN511" s="0" t="s">
        <v>58</v>
      </c>
      <c r="AO511" s="0" t="s">
        <v>58</v>
      </c>
      <c r="AP511" s="0" t="s">
        <v>2428</v>
      </c>
      <c r="AQ511" s="0" t="s">
        <v>2429</v>
      </c>
      <c r="AR511" s="0" t="s">
        <v>58</v>
      </c>
      <c r="AS511" s="0" t="s">
        <v>58</v>
      </c>
    </row>
    <row r="512" customFormat="false" ht="14.4" hidden="false" customHeight="false" outlineLevel="0" collapsed="false">
      <c r="A512" s="0" t="n">
        <v>222</v>
      </c>
      <c r="B512" s="0" t="s">
        <v>2430</v>
      </c>
      <c r="C512" s="0" t="s">
        <v>429</v>
      </c>
      <c r="D512" s="0" t="s">
        <v>472</v>
      </c>
      <c r="E512" s="0" t="s">
        <v>242</v>
      </c>
      <c r="F512" s="0" t="n">
        <v>4283</v>
      </c>
      <c r="G512" s="0" t="s">
        <v>140</v>
      </c>
      <c r="H512" s="0" t="n">
        <v>178</v>
      </c>
      <c r="I512" s="0" t="n">
        <v>0</v>
      </c>
      <c r="J512" s="0" t="n">
        <v>0</v>
      </c>
      <c r="K512" s="0" t="n">
        <v>70</v>
      </c>
      <c r="L512" s="0" t="n">
        <v>248</v>
      </c>
      <c r="M512" s="0" t="n">
        <v>279</v>
      </c>
      <c r="N512" s="0" t="n">
        <v>10</v>
      </c>
      <c r="O512" s="0" t="n">
        <v>84</v>
      </c>
      <c r="P512" s="0" t="n">
        <v>28</v>
      </c>
      <c r="Q512" s="114" t="n">
        <v>24</v>
      </c>
      <c r="R512" s="114" t="n">
        <v>78</v>
      </c>
      <c r="S512" s="114" t="n">
        <v>1.3</v>
      </c>
      <c r="T512" s="114" t="n">
        <v>1.3</v>
      </c>
      <c r="U512" s="114" t="n">
        <v>0.8</v>
      </c>
      <c r="V512" s="0" t="n">
        <v>3</v>
      </c>
      <c r="W512" s="0" t="n">
        <v>3</v>
      </c>
      <c r="X512" s="0" t="n">
        <v>0</v>
      </c>
      <c r="Y512" s="0" t="s">
        <v>1858</v>
      </c>
      <c r="Z512" s="0" t="s">
        <v>2125</v>
      </c>
      <c r="AA512" s="0" t="s">
        <v>50</v>
      </c>
      <c r="AB512" s="114" t="n">
        <v>0.8</v>
      </c>
      <c r="AC512" s="114" t="n">
        <v>0</v>
      </c>
      <c r="AD512" s="0" t="s">
        <v>58</v>
      </c>
      <c r="AE512" s="0" t="s">
        <v>58</v>
      </c>
      <c r="AF512" s="0" t="s">
        <v>58</v>
      </c>
      <c r="AG512" s="0" t="s">
        <v>58</v>
      </c>
      <c r="AH512" s="0" t="s">
        <v>58</v>
      </c>
      <c r="AI512" s="0" t="s">
        <v>58</v>
      </c>
      <c r="AJ512" s="0" t="s">
        <v>58</v>
      </c>
      <c r="AK512" s="0" t="s">
        <v>58</v>
      </c>
      <c r="AL512" s="0" t="s">
        <v>2431</v>
      </c>
      <c r="AM512" s="0" t="s">
        <v>58</v>
      </c>
      <c r="AN512" s="0" t="s">
        <v>58</v>
      </c>
      <c r="AO512" s="0" t="s">
        <v>58</v>
      </c>
      <c r="AP512" s="0" t="s">
        <v>2432</v>
      </c>
      <c r="AQ512" s="0" t="s">
        <v>58</v>
      </c>
      <c r="AR512" s="0" t="s">
        <v>58</v>
      </c>
      <c r="AS512" s="0" t="s">
        <v>58</v>
      </c>
    </row>
    <row r="513" customFormat="false" ht="14.4" hidden="false" customHeight="false" outlineLevel="0" collapsed="false">
      <c r="A513" s="0" t="n">
        <v>3222</v>
      </c>
      <c r="B513" s="0" t="s">
        <v>2433</v>
      </c>
      <c r="C513" s="0" t="s">
        <v>429</v>
      </c>
      <c r="D513" s="0" t="s">
        <v>438</v>
      </c>
      <c r="E513" s="0" t="s">
        <v>242</v>
      </c>
      <c r="F513" s="0" t="n">
        <v>4523</v>
      </c>
      <c r="G513" s="0" t="s">
        <v>140</v>
      </c>
      <c r="H513" s="0" t="n">
        <v>183</v>
      </c>
      <c r="I513" s="0" t="n">
        <v>0</v>
      </c>
      <c r="J513" s="0" t="n">
        <v>0</v>
      </c>
      <c r="K513" s="0" t="n">
        <v>70</v>
      </c>
      <c r="L513" s="0" t="n">
        <v>283</v>
      </c>
      <c r="M513" s="0" t="n">
        <v>339</v>
      </c>
      <c r="N513" s="0" t="n">
        <v>10</v>
      </c>
      <c r="O513" s="0" t="n">
        <v>84</v>
      </c>
      <c r="P513" s="0" t="n">
        <v>28</v>
      </c>
      <c r="Q513" s="114" t="n">
        <v>24</v>
      </c>
      <c r="R513" s="114" t="n">
        <v>78</v>
      </c>
      <c r="S513" s="114" t="n">
        <v>1.45</v>
      </c>
      <c r="T513" s="114" t="n">
        <v>1.35</v>
      </c>
      <c r="U513" s="114" t="n">
        <v>0.8</v>
      </c>
      <c r="V513" s="0" t="n">
        <v>3</v>
      </c>
      <c r="W513" s="0" t="n">
        <v>3</v>
      </c>
      <c r="X513" s="0" t="n">
        <v>0</v>
      </c>
      <c r="Y513" s="0" t="s">
        <v>1858</v>
      </c>
      <c r="Z513" s="0" t="s">
        <v>2125</v>
      </c>
      <c r="AA513" s="0" t="s">
        <v>50</v>
      </c>
      <c r="AB513" s="114" t="n">
        <v>0.8</v>
      </c>
      <c r="AC513" s="114" t="n">
        <v>0</v>
      </c>
      <c r="AD513" s="0" t="s">
        <v>58</v>
      </c>
      <c r="AE513" s="0" t="s">
        <v>58</v>
      </c>
      <c r="AF513" s="0" t="s">
        <v>58</v>
      </c>
      <c r="AG513" s="0" t="s">
        <v>58</v>
      </c>
      <c r="AH513" s="0" t="s">
        <v>58</v>
      </c>
      <c r="AI513" s="0" t="s">
        <v>58</v>
      </c>
      <c r="AJ513" s="0" t="s">
        <v>58</v>
      </c>
      <c r="AK513" s="0" t="s">
        <v>58</v>
      </c>
      <c r="AL513" s="0" t="s">
        <v>2431</v>
      </c>
      <c r="AM513" s="0" t="s">
        <v>2434</v>
      </c>
      <c r="AN513" s="0" t="s">
        <v>58</v>
      </c>
      <c r="AO513" s="0" t="s">
        <v>58</v>
      </c>
      <c r="AP513" s="0" t="s">
        <v>2432</v>
      </c>
      <c r="AQ513" s="0" t="s">
        <v>2366</v>
      </c>
      <c r="AR513" s="0" t="s">
        <v>58</v>
      </c>
      <c r="AS513" s="0" t="s">
        <v>58</v>
      </c>
    </row>
    <row r="514" customFormat="false" ht="14.4" hidden="false" customHeight="false" outlineLevel="0" collapsed="false">
      <c r="A514" s="0" t="n">
        <v>142</v>
      </c>
      <c r="B514" s="0" t="s">
        <v>243</v>
      </c>
      <c r="C514" s="0" t="s">
        <v>471</v>
      </c>
      <c r="D514" s="0" t="s">
        <v>438</v>
      </c>
      <c r="E514" s="0" t="s">
        <v>242</v>
      </c>
      <c r="F514" s="0" t="n">
        <v>5337</v>
      </c>
      <c r="G514" s="0" t="s">
        <v>140</v>
      </c>
      <c r="H514" s="0" t="n">
        <v>181</v>
      </c>
      <c r="I514" s="0" t="n">
        <v>0</v>
      </c>
      <c r="J514" s="0" t="n">
        <v>0</v>
      </c>
      <c r="K514" s="0" t="n">
        <v>66</v>
      </c>
      <c r="L514" s="0" t="n">
        <v>268</v>
      </c>
      <c r="M514" s="0" t="n">
        <v>307</v>
      </c>
      <c r="N514" s="0" t="n">
        <v>11</v>
      </c>
      <c r="O514" s="0" t="n">
        <v>109</v>
      </c>
      <c r="P514" s="0" t="n">
        <v>24</v>
      </c>
      <c r="Q514" s="114" t="n">
        <v>78</v>
      </c>
      <c r="R514" s="114" t="n">
        <v>84</v>
      </c>
      <c r="S514" s="114" t="n">
        <v>1.3</v>
      </c>
      <c r="T514" s="114" t="n">
        <v>1.3</v>
      </c>
      <c r="U514" s="114" t="n">
        <v>0.8</v>
      </c>
      <c r="V514" s="0" t="n">
        <v>3</v>
      </c>
      <c r="W514" s="0" t="n">
        <v>3</v>
      </c>
      <c r="X514" s="0" t="n">
        <v>0</v>
      </c>
      <c r="Y514" s="0" t="s">
        <v>2124</v>
      </c>
      <c r="Z514" s="0" t="s">
        <v>2125</v>
      </c>
      <c r="AA514" s="0" t="s">
        <v>50</v>
      </c>
      <c r="AB514" s="114" t="n">
        <v>0.8</v>
      </c>
      <c r="AC514" s="114" t="n">
        <v>0</v>
      </c>
      <c r="AD514" s="0" t="s">
        <v>58</v>
      </c>
      <c r="AE514" s="0" t="s">
        <v>58</v>
      </c>
      <c r="AF514" s="0" t="s">
        <v>58</v>
      </c>
      <c r="AG514" s="0" t="s">
        <v>58</v>
      </c>
      <c r="AH514" s="0" t="s">
        <v>58</v>
      </c>
      <c r="AI514" s="0" t="s">
        <v>58</v>
      </c>
      <c r="AJ514" s="0" t="s">
        <v>58</v>
      </c>
      <c r="AK514" s="0" t="s">
        <v>58</v>
      </c>
      <c r="AL514" s="0" t="s">
        <v>2435</v>
      </c>
      <c r="AM514" s="0" t="s">
        <v>2436</v>
      </c>
      <c r="AN514" s="0" t="s">
        <v>58</v>
      </c>
      <c r="AO514" s="0" t="s">
        <v>58</v>
      </c>
      <c r="AP514" s="0" t="s">
        <v>2432</v>
      </c>
      <c r="AQ514" s="0" t="s">
        <v>435</v>
      </c>
      <c r="AR514" s="0" t="s">
        <v>58</v>
      </c>
      <c r="AS514" s="0" t="s">
        <v>58</v>
      </c>
    </row>
    <row r="515" customFormat="false" ht="14.4" hidden="false" customHeight="false" outlineLevel="0" collapsed="false">
      <c r="A515" s="0" t="s">
        <v>2437</v>
      </c>
      <c r="B515" s="0" t="s">
        <v>2438</v>
      </c>
      <c r="C515" s="0" t="s">
        <v>934</v>
      </c>
      <c r="D515" s="0" t="s">
        <v>438</v>
      </c>
      <c r="E515" s="0" t="s">
        <v>242</v>
      </c>
      <c r="F515" s="0" t="n">
        <v>4472</v>
      </c>
      <c r="G515" s="0" t="s">
        <v>138</v>
      </c>
      <c r="H515" s="0" t="n">
        <v>156</v>
      </c>
      <c r="I515" s="0" t="n">
        <v>0</v>
      </c>
      <c r="J515" s="0" t="n">
        <v>0</v>
      </c>
      <c r="K515" s="0" t="n">
        <v>53</v>
      </c>
      <c r="L515" s="0" t="n">
        <v>255</v>
      </c>
      <c r="M515" s="0" t="n">
        <v>237</v>
      </c>
      <c r="N515" s="0" t="n">
        <v>10</v>
      </c>
      <c r="O515" s="0" t="n">
        <v>72</v>
      </c>
      <c r="P515" s="0" t="n">
        <v>26</v>
      </c>
      <c r="Q515" s="114" t="n">
        <v>69</v>
      </c>
      <c r="R515" s="114" t="n">
        <v>77</v>
      </c>
      <c r="S515" s="114" t="n">
        <v>1.3</v>
      </c>
      <c r="T515" s="114" t="n">
        <v>1.25</v>
      </c>
      <c r="U515" s="114" t="n">
        <v>0.8</v>
      </c>
      <c r="V515" s="0" t="n">
        <v>3</v>
      </c>
      <c r="W515" s="0" t="n">
        <v>3</v>
      </c>
      <c r="X515" s="0" t="n">
        <v>0</v>
      </c>
      <c r="Y515" s="0" t="s">
        <v>2124</v>
      </c>
      <c r="Z515" s="0" t="s">
        <v>1858</v>
      </c>
      <c r="AA515" s="0" t="s">
        <v>50</v>
      </c>
      <c r="AB515" s="114" t="n">
        <v>0.8</v>
      </c>
      <c r="AC515" s="114" t="n">
        <v>0</v>
      </c>
      <c r="AD515" s="0" t="s">
        <v>2425</v>
      </c>
      <c r="AE515" s="0" t="s">
        <v>58</v>
      </c>
      <c r="AF515" s="0" t="s">
        <v>58</v>
      </c>
      <c r="AG515" s="0" t="s">
        <v>58</v>
      </c>
      <c r="AH515" s="0" t="s">
        <v>58</v>
      </c>
      <c r="AI515" s="0" t="s">
        <v>58</v>
      </c>
      <c r="AJ515" s="0" t="s">
        <v>58</v>
      </c>
      <c r="AK515" s="0" t="s">
        <v>58</v>
      </c>
      <c r="AL515" s="0" t="s">
        <v>2439</v>
      </c>
      <c r="AM515" s="0" t="s">
        <v>2440</v>
      </c>
      <c r="AN515" s="0" t="s">
        <v>58</v>
      </c>
      <c r="AO515" s="0" t="s">
        <v>58</v>
      </c>
      <c r="AP515" s="0" t="s">
        <v>2441</v>
      </c>
      <c r="AQ515" s="0" t="s">
        <v>2442</v>
      </c>
      <c r="AR515" s="0" t="s">
        <v>58</v>
      </c>
      <c r="AS515" s="0" t="s">
        <v>58</v>
      </c>
    </row>
    <row r="516" customFormat="false" ht="14.4" hidden="false" customHeight="false" outlineLevel="0" collapsed="false">
      <c r="B516" s="0" t="s">
        <v>2443</v>
      </c>
      <c r="C516" s="0" t="s">
        <v>1065</v>
      </c>
      <c r="D516" s="0" t="s">
        <v>438</v>
      </c>
      <c r="E516" s="0" t="s">
        <v>242</v>
      </c>
      <c r="F516" s="0" t="n">
        <v>4759</v>
      </c>
      <c r="G516" s="0" t="s">
        <v>140</v>
      </c>
      <c r="H516" s="0" t="n">
        <v>179</v>
      </c>
      <c r="I516" s="0" t="n">
        <v>0</v>
      </c>
      <c r="J516" s="0" t="n">
        <v>0</v>
      </c>
      <c r="K516" s="0" t="n">
        <v>75</v>
      </c>
      <c r="L516" s="0" t="n">
        <v>264</v>
      </c>
      <c r="M516" s="0" t="n">
        <v>323</v>
      </c>
      <c r="N516" s="0" t="n">
        <v>10</v>
      </c>
      <c r="O516" s="0" t="n">
        <v>72</v>
      </c>
      <c r="P516" s="0" t="n">
        <v>32</v>
      </c>
      <c r="Q516" s="0" t="n">
        <v>30</v>
      </c>
      <c r="R516" s="0" t="n">
        <v>87</v>
      </c>
      <c r="S516" s="114" t="n">
        <v>1.3</v>
      </c>
      <c r="T516" s="114" t="n">
        <v>1.45</v>
      </c>
      <c r="U516" s="114" t="n">
        <v>0.8</v>
      </c>
      <c r="V516" s="0" t="n">
        <v>3</v>
      </c>
      <c r="W516" s="0" t="n">
        <v>3</v>
      </c>
      <c r="X516" s="0" t="n">
        <v>0</v>
      </c>
      <c r="Y516" s="0" t="s">
        <v>2124</v>
      </c>
      <c r="Z516" s="0" t="s">
        <v>1858</v>
      </c>
      <c r="AA516" s="0" t="s">
        <v>50</v>
      </c>
      <c r="AB516" s="114" t="n">
        <v>0.8</v>
      </c>
      <c r="AC516" s="114" t="n">
        <v>0</v>
      </c>
      <c r="AD516" s="0" t="s">
        <v>2444</v>
      </c>
      <c r="AE516" s="0" t="s">
        <v>58</v>
      </c>
      <c r="AF516" s="0" t="s">
        <v>58</v>
      </c>
      <c r="AG516" s="0" t="s">
        <v>58</v>
      </c>
      <c r="AH516" s="0" t="s">
        <v>58</v>
      </c>
      <c r="AI516" s="0" t="s">
        <v>58</v>
      </c>
      <c r="AJ516" s="0" t="s">
        <v>58</v>
      </c>
      <c r="AK516" s="0" t="s">
        <v>58</v>
      </c>
    </row>
    <row r="518" customFormat="false" ht="14.4" hidden="false" customHeight="false" outlineLevel="0" collapsed="false">
      <c r="A518" s="144" t="s">
        <v>415</v>
      </c>
      <c r="B518" s="144" t="s">
        <v>97</v>
      </c>
      <c r="C518" s="144" t="s">
        <v>139</v>
      </c>
      <c r="D518" s="144" t="s">
        <v>416</v>
      </c>
      <c r="E518" s="144" t="s">
        <v>96</v>
      </c>
      <c r="F518" s="144" t="s">
        <v>45</v>
      </c>
      <c r="G518" s="144" t="s">
        <v>417</v>
      </c>
      <c r="H518" s="144" t="s">
        <v>100</v>
      </c>
      <c r="I518" s="144" t="s">
        <v>98</v>
      </c>
      <c r="J518" s="144" t="s">
        <v>99</v>
      </c>
      <c r="K518" s="144" t="s">
        <v>46</v>
      </c>
      <c r="L518" s="144" t="s">
        <v>50</v>
      </c>
      <c r="M518" s="144" t="s">
        <v>262</v>
      </c>
      <c r="N518" s="144" t="s">
        <v>418</v>
      </c>
      <c r="O518" s="144" t="s">
        <v>105</v>
      </c>
      <c r="P518" s="144" t="s">
        <v>419</v>
      </c>
      <c r="Q518" s="145" t="s">
        <v>420</v>
      </c>
      <c r="R518" s="145" t="s">
        <v>421</v>
      </c>
      <c r="S518" s="150" t="s">
        <v>335</v>
      </c>
      <c r="T518" s="150" t="s">
        <v>151</v>
      </c>
      <c r="U518" s="150" t="s">
        <v>155</v>
      </c>
      <c r="V518" s="150" t="s">
        <v>346</v>
      </c>
      <c r="W518" s="150" t="s">
        <v>441</v>
      </c>
      <c r="X518" s="150" t="s">
        <v>452</v>
      </c>
      <c r="Y518" s="150" t="s">
        <v>453</v>
      </c>
      <c r="Z518" s="150" t="s">
        <v>454</v>
      </c>
      <c r="AA518" s="150" t="s">
        <v>422</v>
      </c>
      <c r="AB518" s="150" t="s">
        <v>423</v>
      </c>
      <c r="AC518" s="150" t="s">
        <v>424</v>
      </c>
      <c r="AD518" s="150" t="s">
        <v>455</v>
      </c>
      <c r="AE518" s="150" t="s">
        <v>425</v>
      </c>
      <c r="AF518" s="150" t="s">
        <v>426</v>
      </c>
      <c r="AG518" s="150" t="s">
        <v>427</v>
      </c>
      <c r="AH518" s="150" t="s">
        <v>456</v>
      </c>
    </row>
    <row r="519" customFormat="false" ht="14.4" hidden="false" customHeight="false" outlineLevel="0" collapsed="false">
      <c r="A519" s="0" t="n">
        <v>358</v>
      </c>
      <c r="B519" s="0" t="s">
        <v>2445</v>
      </c>
      <c r="C519" s="0" t="s">
        <v>437</v>
      </c>
      <c r="D519" s="0" t="s">
        <v>430</v>
      </c>
      <c r="E519" s="0" t="s">
        <v>325</v>
      </c>
      <c r="F519" s="0" t="n">
        <v>1924</v>
      </c>
      <c r="G519" s="0" t="s">
        <v>138</v>
      </c>
      <c r="H519" s="0" t="n">
        <v>95</v>
      </c>
      <c r="I519" s="0" t="n">
        <v>61</v>
      </c>
      <c r="J519" s="0" t="n">
        <v>526</v>
      </c>
      <c r="K519" s="0" t="n">
        <v>41</v>
      </c>
      <c r="L519" s="0" t="n">
        <v>0</v>
      </c>
      <c r="M519" s="0" t="n">
        <v>0</v>
      </c>
      <c r="N519" s="0" t="n">
        <v>7</v>
      </c>
      <c r="O519" s="0" t="n">
        <v>0</v>
      </c>
      <c r="P519" s="0" t="n">
        <v>16</v>
      </c>
      <c r="Q519" s="114" t="n">
        <v>79</v>
      </c>
      <c r="R519" s="114" t="n">
        <v>193</v>
      </c>
      <c r="S519" s="0" t="n">
        <v>243</v>
      </c>
      <c r="T519" s="114" t="n">
        <v>1.3</v>
      </c>
      <c r="U519" s="114" t="n">
        <v>1.2</v>
      </c>
      <c r="V519" s="114" t="n">
        <v>0.9</v>
      </c>
      <c r="W519" s="0" t="s">
        <v>2446</v>
      </c>
      <c r="X519" s="0" t="s">
        <v>2447</v>
      </c>
      <c r="Y519" s="0" t="s">
        <v>58</v>
      </c>
      <c r="Z519" s="0" t="s">
        <v>58</v>
      </c>
      <c r="AA519" s="0" t="s">
        <v>2448</v>
      </c>
      <c r="AB519" s="0" t="s">
        <v>2449</v>
      </c>
      <c r="AC519" s="0" t="s">
        <v>2450</v>
      </c>
      <c r="AD519" s="0" t="s">
        <v>58</v>
      </c>
      <c r="AE519" s="0" t="s">
        <v>2451</v>
      </c>
      <c r="AF519" s="0" t="s">
        <v>2447</v>
      </c>
      <c r="AG519" s="0" t="s">
        <v>464</v>
      </c>
      <c r="AH519" s="0" t="s">
        <v>58</v>
      </c>
    </row>
    <row r="520" customFormat="false" ht="14.4" hidden="false" customHeight="false" outlineLevel="0" collapsed="false">
      <c r="B520" s="0" t="s">
        <v>2452</v>
      </c>
      <c r="C520" s="0" t="s">
        <v>437</v>
      </c>
      <c r="D520" s="0" t="s">
        <v>2453</v>
      </c>
      <c r="E520" s="0" t="s">
        <v>325</v>
      </c>
      <c r="F520" s="0" t="n">
        <v>1692</v>
      </c>
      <c r="G520" s="0" t="s">
        <v>138</v>
      </c>
      <c r="H520" s="0" t="n">
        <v>87</v>
      </c>
      <c r="I520" s="0" t="n">
        <v>71</v>
      </c>
      <c r="J520" s="0" t="n">
        <v>499</v>
      </c>
      <c r="K520" s="0" t="n">
        <v>41</v>
      </c>
      <c r="L520" s="0" t="n">
        <v>0</v>
      </c>
      <c r="M520" s="0" t="n">
        <v>0</v>
      </c>
      <c r="N520" s="0" t="n">
        <v>5</v>
      </c>
      <c r="O520" s="0" t="n">
        <v>0</v>
      </c>
      <c r="P520" s="0" t="n">
        <v>16</v>
      </c>
      <c r="Q520" s="0" t="n">
        <v>65</v>
      </c>
      <c r="R520" s="0" t="n">
        <v>175</v>
      </c>
      <c r="S520" s="0" t="n">
        <v>243</v>
      </c>
      <c r="T520" s="114" t="n">
        <v>1.25</v>
      </c>
      <c r="U520" s="114" t="n">
        <v>1.2</v>
      </c>
      <c r="V520" s="114" t="n">
        <v>0.9</v>
      </c>
    </row>
    <row r="521" customFormat="false" ht="14.4" hidden="false" customHeight="false" outlineLevel="0" collapsed="false">
      <c r="A521" s="0" t="n">
        <v>402</v>
      </c>
      <c r="B521" s="0" t="s">
        <v>2454</v>
      </c>
      <c r="C521" s="0" t="s">
        <v>437</v>
      </c>
      <c r="D521" s="0" t="s">
        <v>430</v>
      </c>
      <c r="E521" s="0" t="s">
        <v>325</v>
      </c>
      <c r="F521" s="0" t="n">
        <v>1899</v>
      </c>
      <c r="G521" s="0" t="s">
        <v>138</v>
      </c>
      <c r="H521" s="0" t="n">
        <v>93</v>
      </c>
      <c r="I521" s="0" t="n">
        <v>65</v>
      </c>
      <c r="J521" s="0" t="n">
        <v>524</v>
      </c>
      <c r="K521" s="0" t="n">
        <v>41</v>
      </c>
      <c r="L521" s="0" t="n">
        <v>0</v>
      </c>
      <c r="M521" s="0" t="n">
        <v>0</v>
      </c>
      <c r="N521" s="0" t="n">
        <v>7</v>
      </c>
      <c r="O521" s="0" t="n">
        <v>0</v>
      </c>
      <c r="P521" s="0" t="n">
        <v>16</v>
      </c>
      <c r="Q521" s="0" t="n">
        <v>78</v>
      </c>
      <c r="R521" s="0" t="n">
        <v>192</v>
      </c>
      <c r="S521" s="0" t="n">
        <v>243</v>
      </c>
      <c r="T521" s="114" t="n">
        <v>1.25</v>
      </c>
      <c r="U521" s="114" t="n">
        <v>1.25</v>
      </c>
      <c r="V521" s="114" t="n">
        <v>0.85</v>
      </c>
      <c r="W521" s="0" t="s">
        <v>2446</v>
      </c>
      <c r="X521" s="0" t="s">
        <v>2455</v>
      </c>
      <c r="Y521" s="0" t="s">
        <v>58</v>
      </c>
      <c r="Z521" s="0" t="s">
        <v>58</v>
      </c>
      <c r="AA521" s="0" t="s">
        <v>2456</v>
      </c>
      <c r="AB521" s="0" t="s">
        <v>2457</v>
      </c>
      <c r="AC521" s="0" t="s">
        <v>2458</v>
      </c>
      <c r="AD521" s="0" t="s">
        <v>58</v>
      </c>
      <c r="AE521" s="0" t="s">
        <v>2459</v>
      </c>
      <c r="AF521" s="0" t="s">
        <v>2460</v>
      </c>
      <c r="AG521" s="0" t="s">
        <v>464</v>
      </c>
      <c r="AH521" s="0" t="s">
        <v>58</v>
      </c>
    </row>
    <row r="522" customFormat="false" ht="14.4" hidden="false" customHeight="false" outlineLevel="0" collapsed="false">
      <c r="A522" s="0" t="n">
        <v>342</v>
      </c>
      <c r="B522" s="0" t="s">
        <v>2461</v>
      </c>
      <c r="C522" s="0" t="s">
        <v>437</v>
      </c>
      <c r="D522" s="0" t="s">
        <v>438</v>
      </c>
      <c r="E522" s="0" t="s">
        <v>325</v>
      </c>
      <c r="F522" s="0" t="n">
        <v>1692</v>
      </c>
      <c r="G522" s="0" t="s">
        <v>138</v>
      </c>
      <c r="H522" s="0" t="n">
        <v>90</v>
      </c>
      <c r="I522" s="0" t="n">
        <v>71</v>
      </c>
      <c r="J522" s="0" t="n">
        <v>503</v>
      </c>
      <c r="K522" s="0" t="n">
        <v>41</v>
      </c>
      <c r="L522" s="0" t="n">
        <v>0</v>
      </c>
      <c r="M522" s="0" t="n">
        <v>0</v>
      </c>
      <c r="N522" s="0" t="n">
        <v>6</v>
      </c>
      <c r="O522" s="0" t="n">
        <v>0</v>
      </c>
      <c r="P522" s="0" t="n">
        <v>16</v>
      </c>
      <c r="Q522" s="114" t="n">
        <v>68</v>
      </c>
      <c r="R522" s="114" t="n">
        <v>178</v>
      </c>
      <c r="S522" s="0" t="n">
        <v>283</v>
      </c>
      <c r="T522" s="114" t="n">
        <v>1.25</v>
      </c>
      <c r="U522" s="114" t="n">
        <v>1.2</v>
      </c>
      <c r="V522" s="114" t="n">
        <v>0.9</v>
      </c>
      <c r="W522" s="0" t="s">
        <v>2462</v>
      </c>
      <c r="X522" s="0" t="s">
        <v>58</v>
      </c>
      <c r="Y522" s="0" t="s">
        <v>58</v>
      </c>
      <c r="Z522" s="0" t="s">
        <v>58</v>
      </c>
      <c r="AA522" s="0" t="s">
        <v>2463</v>
      </c>
      <c r="AB522" s="0" t="s">
        <v>2464</v>
      </c>
      <c r="AC522" s="0" t="s">
        <v>2465</v>
      </c>
      <c r="AD522" s="0" t="s">
        <v>58</v>
      </c>
      <c r="AE522" s="0" t="s">
        <v>2466</v>
      </c>
      <c r="AF522" s="0" t="s">
        <v>2467</v>
      </c>
      <c r="AG522" s="0" t="s">
        <v>464</v>
      </c>
      <c r="AH522" s="0" t="s">
        <v>58</v>
      </c>
    </row>
    <row r="523" customFormat="false" ht="15" hidden="false" customHeight="true" outlineLevel="0" collapsed="false">
      <c r="A523" s="0" t="n">
        <v>398</v>
      </c>
      <c r="B523" s="0" t="s">
        <v>2468</v>
      </c>
      <c r="C523" s="0" t="s">
        <v>429</v>
      </c>
      <c r="D523" s="0" t="s">
        <v>430</v>
      </c>
      <c r="E523" s="0" t="s">
        <v>325</v>
      </c>
      <c r="F523" s="0" t="n">
        <v>1993</v>
      </c>
      <c r="G523" s="0" t="s">
        <v>138</v>
      </c>
      <c r="H523" s="0" t="n">
        <v>115</v>
      </c>
      <c r="I523" s="0" t="n">
        <v>65</v>
      </c>
      <c r="J523" s="0" t="n">
        <v>539</v>
      </c>
      <c r="K523" s="0" t="n">
        <v>43</v>
      </c>
      <c r="L523" s="0" t="n">
        <v>0</v>
      </c>
      <c r="M523" s="0" t="n">
        <v>0</v>
      </c>
      <c r="N523" s="0" t="n">
        <v>7</v>
      </c>
      <c r="O523" s="0" t="n">
        <v>0</v>
      </c>
      <c r="P523" s="0" t="n">
        <v>18</v>
      </c>
      <c r="Q523" s="0" t="n">
        <v>22</v>
      </c>
      <c r="R523" s="0" t="n">
        <v>172</v>
      </c>
      <c r="S523" s="0" t="n">
        <v>195</v>
      </c>
      <c r="T523" s="114" t="n">
        <v>1.3</v>
      </c>
      <c r="U523" s="114" t="n">
        <v>1.15</v>
      </c>
      <c r="V523" s="114" t="n">
        <v>0.8</v>
      </c>
      <c r="W523" s="0" t="s">
        <v>2469</v>
      </c>
      <c r="X523" s="0" t="s">
        <v>2470</v>
      </c>
      <c r="Y523" s="0" t="s">
        <v>58</v>
      </c>
      <c r="Z523" s="0" t="s">
        <v>58</v>
      </c>
      <c r="AA523" s="0" t="s">
        <v>2471</v>
      </c>
      <c r="AB523" s="0" t="s">
        <v>2472</v>
      </c>
      <c r="AC523" s="0" t="s">
        <v>2473</v>
      </c>
      <c r="AD523" s="0" t="s">
        <v>58</v>
      </c>
      <c r="AE523" s="0" t="s">
        <v>2470</v>
      </c>
      <c r="AF523" s="0" t="s">
        <v>2474</v>
      </c>
      <c r="AG523" s="0" t="s">
        <v>464</v>
      </c>
      <c r="AH523" s="0" t="s">
        <v>58</v>
      </c>
    </row>
    <row r="524" customFormat="false" ht="14.4" hidden="false" customHeight="false" outlineLevel="0" collapsed="false">
      <c r="A524" s="0" t="n">
        <v>338</v>
      </c>
      <c r="B524" s="0" t="s">
        <v>326</v>
      </c>
      <c r="C524" s="0" t="s">
        <v>429</v>
      </c>
      <c r="D524" s="0" t="s">
        <v>430</v>
      </c>
      <c r="E524" s="0" t="s">
        <v>325</v>
      </c>
      <c r="F524" s="0" t="n">
        <v>2165</v>
      </c>
      <c r="G524" s="0" t="s">
        <v>138</v>
      </c>
      <c r="H524" s="0" t="n">
        <v>110</v>
      </c>
      <c r="I524" s="0" t="n">
        <v>59</v>
      </c>
      <c r="J524" s="0" t="n">
        <v>549</v>
      </c>
      <c r="K524" s="0" t="n">
        <v>45</v>
      </c>
      <c r="L524" s="0" t="n">
        <v>0</v>
      </c>
      <c r="M524" s="0" t="n">
        <v>0</v>
      </c>
      <c r="N524" s="0" t="n">
        <v>7</v>
      </c>
      <c r="O524" s="0" t="n">
        <v>0</v>
      </c>
      <c r="P524" s="0" t="n">
        <v>18</v>
      </c>
      <c r="Q524" s="114" t="n">
        <v>19</v>
      </c>
      <c r="R524" s="114" t="n">
        <v>170</v>
      </c>
      <c r="S524" s="0" t="n">
        <v>200</v>
      </c>
      <c r="T524" s="114" t="n">
        <v>1.35</v>
      </c>
      <c r="U524" s="114" t="n">
        <v>1.15</v>
      </c>
      <c r="V524" s="114" t="n">
        <v>0.8</v>
      </c>
      <c r="W524" s="0" t="s">
        <v>2475</v>
      </c>
      <c r="X524" s="0" t="s">
        <v>2476</v>
      </c>
      <c r="Y524" s="0" t="s">
        <v>58</v>
      </c>
      <c r="Z524" s="0" t="s">
        <v>58</v>
      </c>
      <c r="AA524" s="0" t="s">
        <v>2477</v>
      </c>
      <c r="AB524" s="0" t="s">
        <v>2472</v>
      </c>
      <c r="AC524" s="0" t="s">
        <v>2478</v>
      </c>
      <c r="AD524" s="0" t="s">
        <v>58</v>
      </c>
      <c r="AE524" s="0" t="s">
        <v>2476</v>
      </c>
      <c r="AF524" s="0" t="s">
        <v>2479</v>
      </c>
      <c r="AG524" s="0" t="s">
        <v>464</v>
      </c>
      <c r="AH524" s="0" t="s">
        <v>58</v>
      </c>
    </row>
    <row r="525" customFormat="false" ht="14.4" hidden="false" customHeight="false" outlineLevel="0" collapsed="false">
      <c r="A525" s="0" t="n">
        <v>396</v>
      </c>
      <c r="B525" s="0" t="s">
        <v>2480</v>
      </c>
      <c r="C525" s="0" t="s">
        <v>429</v>
      </c>
      <c r="D525" s="0" t="s">
        <v>438</v>
      </c>
      <c r="E525" s="0" t="s">
        <v>325</v>
      </c>
      <c r="F525" s="0" t="n">
        <v>1946</v>
      </c>
      <c r="G525" s="0" t="s">
        <v>138</v>
      </c>
      <c r="H525" s="0" t="n">
        <v>70</v>
      </c>
      <c r="I525" s="0" t="n">
        <v>65</v>
      </c>
      <c r="J525" s="0" t="n">
        <v>514</v>
      </c>
      <c r="K525" s="0" t="n">
        <v>45</v>
      </c>
      <c r="L525" s="0" t="n">
        <v>0</v>
      </c>
      <c r="M525" s="0" t="n">
        <v>0</v>
      </c>
      <c r="N525" s="0" t="n">
        <v>6</v>
      </c>
      <c r="O525" s="0" t="n">
        <v>0</v>
      </c>
      <c r="P525" s="0" t="n">
        <v>18</v>
      </c>
      <c r="Q525" s="0" t="n">
        <v>25</v>
      </c>
      <c r="R525" s="0" t="n">
        <v>178</v>
      </c>
      <c r="S525" s="0" t="n">
        <v>218</v>
      </c>
      <c r="T525" s="114" t="n">
        <v>1.3</v>
      </c>
      <c r="U525" s="114" t="n">
        <v>1.15</v>
      </c>
      <c r="V525" s="114" t="n">
        <v>0.85</v>
      </c>
      <c r="W525" s="0" t="s">
        <v>2481</v>
      </c>
      <c r="X525" s="0" t="s">
        <v>2482</v>
      </c>
      <c r="Y525" s="0" t="s">
        <v>58</v>
      </c>
      <c r="Z525" s="0" t="s">
        <v>58</v>
      </c>
      <c r="AA525" s="0" t="s">
        <v>2483</v>
      </c>
      <c r="AB525" s="0" t="s">
        <v>2484</v>
      </c>
      <c r="AC525" s="0" t="s">
        <v>2485</v>
      </c>
      <c r="AD525" s="0" t="s">
        <v>58</v>
      </c>
      <c r="AE525" s="0" t="s">
        <v>2486</v>
      </c>
      <c r="AF525" s="0" t="s">
        <v>2482</v>
      </c>
      <c r="AG525" s="0" t="s">
        <v>464</v>
      </c>
      <c r="AH525" s="0" t="s">
        <v>58</v>
      </c>
    </row>
    <row r="526" customFormat="false" ht="14.4" hidden="false" customHeight="false" outlineLevel="0" collapsed="false">
      <c r="A526" s="0" t="n">
        <v>339</v>
      </c>
      <c r="B526" s="0" t="s">
        <v>2487</v>
      </c>
      <c r="C526" s="0" t="s">
        <v>429</v>
      </c>
      <c r="D526" s="0" t="s">
        <v>438</v>
      </c>
      <c r="E526" s="0" t="s">
        <v>325</v>
      </c>
      <c r="F526" s="0" t="n">
        <v>2067</v>
      </c>
      <c r="G526" s="0" t="s">
        <v>138</v>
      </c>
      <c r="H526" s="0" t="n">
        <v>109</v>
      </c>
      <c r="I526" s="0" t="n">
        <v>61</v>
      </c>
      <c r="J526" s="0" t="n">
        <v>520</v>
      </c>
      <c r="K526" s="0" t="n">
        <v>45</v>
      </c>
      <c r="L526" s="0" t="n">
        <v>0</v>
      </c>
      <c r="M526" s="0" t="n">
        <v>0</v>
      </c>
      <c r="N526" s="0" t="n">
        <v>6</v>
      </c>
      <c r="O526" s="0" t="n">
        <v>0</v>
      </c>
      <c r="P526" s="0" t="n">
        <v>18</v>
      </c>
      <c r="Q526" s="114" t="n">
        <v>26</v>
      </c>
      <c r="R526" s="114" t="n">
        <v>164</v>
      </c>
      <c r="S526" s="0" t="n">
        <v>258</v>
      </c>
      <c r="T526" s="114" t="n">
        <v>1.3</v>
      </c>
      <c r="U526" s="114" t="n">
        <v>1.15</v>
      </c>
      <c r="V526" s="114" t="n">
        <v>0.85</v>
      </c>
      <c r="W526" s="0" t="s">
        <v>2481</v>
      </c>
      <c r="X526" s="0" t="s">
        <v>58</v>
      </c>
      <c r="Y526" s="0" t="s">
        <v>58</v>
      </c>
      <c r="Z526" s="0" t="s">
        <v>58</v>
      </c>
      <c r="AA526" s="0" t="s">
        <v>2488</v>
      </c>
      <c r="AB526" s="0" t="s">
        <v>2464</v>
      </c>
      <c r="AC526" s="0" t="s">
        <v>2485</v>
      </c>
      <c r="AD526" s="0" t="s">
        <v>58</v>
      </c>
      <c r="AE526" s="0" t="s">
        <v>2489</v>
      </c>
      <c r="AF526" s="0" t="s">
        <v>2467</v>
      </c>
      <c r="AG526" s="0" t="s">
        <v>464</v>
      </c>
      <c r="AH526" s="0" t="s">
        <v>58</v>
      </c>
    </row>
    <row r="527" customFormat="false" ht="14.4" hidden="false" customHeight="false" outlineLevel="0" collapsed="false">
      <c r="A527" s="0" t="n">
        <v>397</v>
      </c>
      <c r="B527" s="0" t="s">
        <v>2490</v>
      </c>
      <c r="C527" s="0" t="s">
        <v>429</v>
      </c>
      <c r="D527" s="0" t="s">
        <v>438</v>
      </c>
      <c r="E527" s="0" t="s">
        <v>325</v>
      </c>
      <c r="F527" s="0" t="n">
        <v>2080</v>
      </c>
      <c r="G527" s="0" t="s">
        <v>138</v>
      </c>
      <c r="H527" s="0" t="n">
        <v>62</v>
      </c>
      <c r="I527" s="0" t="n">
        <v>59</v>
      </c>
      <c r="J527" s="0" t="n">
        <v>502</v>
      </c>
      <c r="K527" s="0" t="n">
        <v>37</v>
      </c>
      <c r="L527" s="0" t="n">
        <v>0</v>
      </c>
      <c r="M527" s="0" t="n">
        <v>0</v>
      </c>
      <c r="N527" s="0" t="n">
        <v>6</v>
      </c>
      <c r="O527" s="0" t="n">
        <v>0</v>
      </c>
      <c r="P527" s="0" t="n">
        <v>14</v>
      </c>
      <c r="Q527" s="0" t="n">
        <v>46</v>
      </c>
      <c r="R527" s="0" t="n">
        <v>166</v>
      </c>
      <c r="S527" s="0" t="n">
        <v>248</v>
      </c>
      <c r="T527" s="114" t="n">
        <v>1.15</v>
      </c>
      <c r="U527" s="114" t="n">
        <v>1.15</v>
      </c>
      <c r="V527" s="114" t="n">
        <v>0.85</v>
      </c>
      <c r="W527" s="0" t="s">
        <v>2481</v>
      </c>
      <c r="X527" s="0" t="s">
        <v>58</v>
      </c>
      <c r="Y527" s="0" t="s">
        <v>58</v>
      </c>
      <c r="Z527" s="0" t="s">
        <v>58</v>
      </c>
      <c r="AA527" s="0" t="s">
        <v>2472</v>
      </c>
      <c r="AB527" s="0" t="s">
        <v>2491</v>
      </c>
      <c r="AC527" s="0" t="s">
        <v>2485</v>
      </c>
      <c r="AD527" s="0" t="s">
        <v>58</v>
      </c>
      <c r="AE527" s="0" t="s">
        <v>2479</v>
      </c>
      <c r="AF527" s="0" t="s">
        <v>2492</v>
      </c>
      <c r="AG527" s="0" t="s">
        <v>464</v>
      </c>
      <c r="AH527" s="0" t="s">
        <v>58</v>
      </c>
    </row>
    <row r="528" customFormat="false" ht="14.4" hidden="false" customHeight="false" outlineLevel="0" collapsed="false">
      <c r="A528" s="0" t="n">
        <v>340</v>
      </c>
      <c r="B528" s="0" t="s">
        <v>2493</v>
      </c>
      <c r="C528" s="0" t="s">
        <v>429</v>
      </c>
      <c r="D528" s="0" t="s">
        <v>438</v>
      </c>
      <c r="E528" s="0" t="s">
        <v>325</v>
      </c>
      <c r="F528" s="0" t="n">
        <v>2080</v>
      </c>
      <c r="G528" s="0" t="s">
        <v>138</v>
      </c>
      <c r="H528" s="0" t="n">
        <v>79</v>
      </c>
      <c r="I528" s="0" t="n">
        <v>59</v>
      </c>
      <c r="J528" s="0" t="n">
        <v>503</v>
      </c>
      <c r="K528" s="0" t="n">
        <v>37</v>
      </c>
      <c r="L528" s="0" t="n">
        <v>0</v>
      </c>
      <c r="M528" s="0" t="n">
        <v>0</v>
      </c>
      <c r="N528" s="0" t="n">
        <v>6</v>
      </c>
      <c r="O528" s="0" t="n">
        <v>0</v>
      </c>
      <c r="P528" s="0" t="n">
        <v>14</v>
      </c>
      <c r="Q528" s="114" t="n">
        <v>58</v>
      </c>
      <c r="R528" s="114" t="n">
        <v>168</v>
      </c>
      <c r="S528" s="0" t="n">
        <v>268</v>
      </c>
      <c r="T528" s="114" t="n">
        <v>1.2</v>
      </c>
      <c r="U528" s="114" t="n">
        <v>1.15</v>
      </c>
      <c r="V528" s="114" t="n">
        <v>0.85</v>
      </c>
      <c r="W528" s="0" t="s">
        <v>2481</v>
      </c>
      <c r="X528" s="0" t="s">
        <v>2494</v>
      </c>
      <c r="Y528" s="0" t="s">
        <v>58</v>
      </c>
      <c r="Z528" s="0" t="s">
        <v>58</v>
      </c>
      <c r="AA528" s="0" t="s">
        <v>2495</v>
      </c>
      <c r="AB528" s="0" t="s">
        <v>2485</v>
      </c>
      <c r="AC528" s="0" t="s">
        <v>58</v>
      </c>
      <c r="AD528" s="0" t="s">
        <v>58</v>
      </c>
      <c r="AE528" s="0" t="s">
        <v>2494</v>
      </c>
      <c r="AF528" s="0" t="s">
        <v>464</v>
      </c>
      <c r="AG528" s="0" t="s">
        <v>58</v>
      </c>
      <c r="AH528" s="0" t="s">
        <v>58</v>
      </c>
    </row>
    <row r="529" customFormat="false" ht="14.4" hidden="false" customHeight="false" outlineLevel="0" collapsed="false">
      <c r="A529" s="0" t="s">
        <v>2496</v>
      </c>
      <c r="B529" s="0" t="s">
        <v>2497</v>
      </c>
      <c r="C529" s="0" t="s">
        <v>925</v>
      </c>
      <c r="D529" s="0" t="s">
        <v>430</v>
      </c>
      <c r="E529" s="0" t="s">
        <v>325</v>
      </c>
      <c r="F529" s="0" t="n">
        <v>1681</v>
      </c>
      <c r="G529" s="0" t="s">
        <v>138</v>
      </c>
      <c r="H529" s="0" t="n">
        <v>109</v>
      </c>
      <c r="I529" s="0" t="n">
        <v>65</v>
      </c>
      <c r="J529" s="0" t="n">
        <v>539</v>
      </c>
      <c r="K529" s="0" t="n">
        <v>45</v>
      </c>
      <c r="L529" s="0" t="n">
        <v>0</v>
      </c>
      <c r="M529" s="0" t="n">
        <v>0</v>
      </c>
      <c r="N529" s="0" t="n">
        <v>7</v>
      </c>
      <c r="O529" s="0" t="n">
        <v>0</v>
      </c>
      <c r="P529" s="0" t="n">
        <v>18</v>
      </c>
      <c r="Q529" s="0" t="n">
        <v>65</v>
      </c>
      <c r="R529" s="0" t="n">
        <v>175</v>
      </c>
      <c r="S529" s="0" t="n">
        <v>208</v>
      </c>
      <c r="T529" s="114" t="n">
        <v>1.25</v>
      </c>
      <c r="U529" s="114" t="n">
        <v>1.25</v>
      </c>
      <c r="V529" s="114" t="n">
        <v>0.85</v>
      </c>
      <c r="W529" s="0" t="s">
        <v>2498</v>
      </c>
      <c r="X529" s="0" t="s">
        <v>2499</v>
      </c>
      <c r="Y529" s="0" t="s">
        <v>58</v>
      </c>
      <c r="Z529" s="0" t="s">
        <v>58</v>
      </c>
      <c r="AA529" s="0" t="s">
        <v>2500</v>
      </c>
      <c r="AB529" s="0" t="s">
        <v>2501</v>
      </c>
      <c r="AC529" s="0" t="s">
        <v>2498</v>
      </c>
      <c r="AD529" s="0" t="s">
        <v>58</v>
      </c>
      <c r="AE529" s="0" t="s">
        <v>2502</v>
      </c>
      <c r="AF529" s="162" t="s">
        <v>2503</v>
      </c>
      <c r="AG529" s="0" t="s">
        <v>2504</v>
      </c>
      <c r="AH529" s="0" t="s">
        <v>58</v>
      </c>
    </row>
    <row r="530" customFormat="false" ht="14.4" hidden="false" customHeight="false" outlineLevel="0" collapsed="false">
      <c r="A530" s="0" t="n">
        <v>350</v>
      </c>
      <c r="B530" s="0" t="s">
        <v>2505</v>
      </c>
      <c r="C530" s="0" t="s">
        <v>639</v>
      </c>
      <c r="D530" s="0" t="s">
        <v>438</v>
      </c>
      <c r="E530" s="0" t="s">
        <v>325</v>
      </c>
      <c r="F530" s="0" t="n">
        <v>2819</v>
      </c>
      <c r="G530" s="0" t="s">
        <v>138</v>
      </c>
      <c r="H530" s="0" t="n">
        <v>76</v>
      </c>
      <c r="I530" s="0" t="n">
        <v>139</v>
      </c>
      <c r="J530" s="0" t="n">
        <v>509</v>
      </c>
      <c r="K530" s="0" t="n">
        <v>22</v>
      </c>
      <c r="L530" s="0" t="n">
        <v>0</v>
      </c>
      <c r="M530" s="0" t="n">
        <v>0</v>
      </c>
      <c r="N530" s="0" t="n">
        <v>6</v>
      </c>
      <c r="O530" s="0" t="n">
        <v>0</v>
      </c>
      <c r="P530" s="0" t="n">
        <v>14</v>
      </c>
      <c r="Q530" s="114" t="n">
        <v>60</v>
      </c>
      <c r="R530" s="114" t="n">
        <v>164</v>
      </c>
      <c r="S530" s="0" t="n">
        <v>180</v>
      </c>
      <c r="T530" s="114" t="n">
        <v>1.15</v>
      </c>
      <c r="U530" s="114" t="n">
        <v>1.2</v>
      </c>
      <c r="V530" s="114" t="n">
        <v>1.2</v>
      </c>
      <c r="W530" s="0" t="s">
        <v>2506</v>
      </c>
      <c r="X530" s="0" t="s">
        <v>58</v>
      </c>
      <c r="Y530" s="0" t="s">
        <v>58</v>
      </c>
      <c r="Z530" s="0" t="s">
        <v>58</v>
      </c>
      <c r="AA530" s="0" t="s">
        <v>2507</v>
      </c>
      <c r="AB530" s="0" t="s">
        <v>2508</v>
      </c>
      <c r="AC530" s="0" t="s">
        <v>2509</v>
      </c>
      <c r="AD530" s="0" t="s">
        <v>58</v>
      </c>
      <c r="AE530" s="0" t="s">
        <v>2510</v>
      </c>
      <c r="AF530" s="0" t="s">
        <v>2511</v>
      </c>
      <c r="AG530" s="0" t="s">
        <v>464</v>
      </c>
      <c r="AH530" s="0" t="s">
        <v>58</v>
      </c>
    </row>
    <row r="531" customFormat="false" ht="14.4" hidden="false" customHeight="false" outlineLevel="0" collapsed="false">
      <c r="A531" s="0" t="n">
        <v>399</v>
      </c>
      <c r="B531" s="0" t="s">
        <v>2512</v>
      </c>
      <c r="C531" s="0" t="s">
        <v>1065</v>
      </c>
      <c r="D531" s="0" t="s">
        <v>430</v>
      </c>
      <c r="E531" s="0" t="s">
        <v>325</v>
      </c>
      <c r="F531" s="0" t="n">
        <v>1297</v>
      </c>
      <c r="G531" s="0" t="s">
        <v>138</v>
      </c>
      <c r="H531" s="0" t="n">
        <v>110</v>
      </c>
      <c r="I531" s="0" t="n">
        <v>48</v>
      </c>
      <c r="J531" s="0" t="n">
        <v>530</v>
      </c>
      <c r="K531" s="0" t="n">
        <v>37</v>
      </c>
      <c r="L531" s="0" t="n">
        <v>0</v>
      </c>
      <c r="M531" s="0" t="n">
        <v>0</v>
      </c>
      <c r="N531" s="0" t="n">
        <v>7</v>
      </c>
      <c r="O531" s="0" t="n">
        <v>0</v>
      </c>
      <c r="P531" s="0" t="n">
        <v>14</v>
      </c>
      <c r="Q531" s="0" t="n">
        <v>68</v>
      </c>
      <c r="R531" s="0" t="n">
        <v>175</v>
      </c>
      <c r="S531" s="0" t="n">
        <v>190</v>
      </c>
      <c r="T531" s="114" t="n">
        <v>1.25</v>
      </c>
      <c r="U531" s="114" t="n">
        <v>1.25</v>
      </c>
      <c r="V531" s="114" t="n">
        <v>0.85</v>
      </c>
      <c r="W531" s="0" t="s">
        <v>2513</v>
      </c>
      <c r="X531" s="0" t="s">
        <v>58</v>
      </c>
      <c r="Y531" s="0" t="s">
        <v>58</v>
      </c>
      <c r="Z531" s="0" t="s">
        <v>58</v>
      </c>
      <c r="AA531" s="0" t="s">
        <v>2514</v>
      </c>
      <c r="AB531" s="0" t="s">
        <v>2515</v>
      </c>
      <c r="AC531" s="0" t="s">
        <v>2516</v>
      </c>
      <c r="AD531" s="0" t="s">
        <v>58</v>
      </c>
      <c r="AE531" s="0" t="s">
        <v>2517</v>
      </c>
      <c r="AF531" s="0" t="s">
        <v>2518</v>
      </c>
      <c r="AG531" s="0" t="s">
        <v>464</v>
      </c>
      <c r="AH531" s="0" t="s">
        <v>58</v>
      </c>
    </row>
    <row r="532" customFormat="false" ht="14.4" hidden="false" customHeight="false" outlineLevel="0" collapsed="false">
      <c r="A532" s="0" t="n">
        <v>416</v>
      </c>
      <c r="B532" s="0" t="s">
        <v>2519</v>
      </c>
      <c r="C532" s="0" t="s">
        <v>1065</v>
      </c>
      <c r="D532" s="0" t="s">
        <v>438</v>
      </c>
      <c r="E532" s="0" t="s">
        <v>325</v>
      </c>
      <c r="F532" s="0" t="n">
        <v>1463</v>
      </c>
      <c r="G532" s="0" t="s">
        <v>138</v>
      </c>
      <c r="H532" s="0" t="n">
        <v>82</v>
      </c>
      <c r="I532" s="0" t="n">
        <v>48</v>
      </c>
      <c r="J532" s="0" t="n">
        <v>499</v>
      </c>
      <c r="K532" s="0" t="n">
        <v>37</v>
      </c>
      <c r="L532" s="0" t="n">
        <v>0</v>
      </c>
      <c r="M532" s="0" t="n">
        <v>0</v>
      </c>
      <c r="N532" s="0" t="n">
        <v>6</v>
      </c>
      <c r="O532" s="0" t="n">
        <v>0</v>
      </c>
      <c r="P532" s="0" t="n">
        <v>14</v>
      </c>
      <c r="Q532" s="0" t="n">
        <v>28</v>
      </c>
      <c r="R532" s="0" t="n">
        <v>178</v>
      </c>
      <c r="S532" s="0" t="n">
        <v>208</v>
      </c>
      <c r="T532" s="114" t="n">
        <v>1.25</v>
      </c>
      <c r="U532" s="114" t="n">
        <v>1.2</v>
      </c>
      <c r="V532" s="114" t="n">
        <v>0.85</v>
      </c>
      <c r="W532" s="0" t="s">
        <v>2520</v>
      </c>
      <c r="X532" s="0" t="s">
        <v>58</v>
      </c>
      <c r="Y532" s="0" t="s">
        <v>58</v>
      </c>
      <c r="Z532" s="0" t="s">
        <v>58</v>
      </c>
      <c r="AA532" s="162" t="s">
        <v>2521</v>
      </c>
      <c r="AB532" s="0" t="s">
        <v>2522</v>
      </c>
      <c r="AC532" s="0" t="s">
        <v>2523</v>
      </c>
      <c r="AD532" s="0" t="s">
        <v>58</v>
      </c>
      <c r="AE532" s="0" t="s">
        <v>2524</v>
      </c>
      <c r="AF532" s="0" t="s">
        <v>2525</v>
      </c>
      <c r="AG532" s="0" t="s">
        <v>464</v>
      </c>
      <c r="AH532" s="0" t="s">
        <v>58</v>
      </c>
    </row>
    <row r="533" customFormat="false" ht="15" hidden="false" customHeight="true" outlineLevel="0" collapsed="false">
      <c r="B533" s="0" t="s">
        <v>2526</v>
      </c>
      <c r="C533" s="0" t="s">
        <v>1065</v>
      </c>
      <c r="D533" s="0" t="s">
        <v>430</v>
      </c>
      <c r="E533" s="0" t="s">
        <v>325</v>
      </c>
      <c r="F533" s="0" t="n">
        <v>1552</v>
      </c>
      <c r="G533" s="0" t="s">
        <v>138</v>
      </c>
      <c r="H533" s="0" t="n">
        <v>110</v>
      </c>
      <c r="I533" s="0" t="n">
        <v>45</v>
      </c>
      <c r="J533" s="0" t="n">
        <v>540</v>
      </c>
      <c r="K533" s="0" t="n">
        <v>37</v>
      </c>
      <c r="L533" s="0" t="n">
        <v>0</v>
      </c>
      <c r="M533" s="0" t="n">
        <v>0</v>
      </c>
      <c r="N533" s="0" t="n">
        <v>7</v>
      </c>
      <c r="O533" s="0" t="n">
        <v>0</v>
      </c>
      <c r="P533" s="0" t="n">
        <v>14</v>
      </c>
      <c r="Q533" s="0" t="n">
        <v>72</v>
      </c>
      <c r="R533" s="0" t="n">
        <v>178</v>
      </c>
      <c r="S533" s="0" t="n">
        <v>218</v>
      </c>
      <c r="T533" s="114" t="n">
        <v>1.25</v>
      </c>
      <c r="U533" s="114" t="n">
        <v>1.25</v>
      </c>
      <c r="V533" s="114" t="n">
        <v>0.85</v>
      </c>
      <c r="W533" s="0" t="s">
        <v>2527</v>
      </c>
      <c r="X533" s="0" t="s">
        <v>2528</v>
      </c>
      <c r="Y533" s="0" t="s">
        <v>58</v>
      </c>
      <c r="Z533" s="0" t="s">
        <v>58</v>
      </c>
    </row>
    <row r="534" customFormat="false" ht="14.4" hidden="false" customHeight="false" outlineLevel="0" collapsed="false">
      <c r="A534" s="0" t="n">
        <v>343</v>
      </c>
      <c r="B534" s="0" t="s">
        <v>2529</v>
      </c>
      <c r="C534" s="0" t="s">
        <v>1065</v>
      </c>
      <c r="D534" s="0" t="s">
        <v>430</v>
      </c>
      <c r="E534" s="0" t="s">
        <v>325</v>
      </c>
      <c r="F534" s="0" t="n">
        <v>1297</v>
      </c>
      <c r="G534" s="0" t="s">
        <v>138</v>
      </c>
      <c r="H534" s="0" t="n">
        <v>110</v>
      </c>
      <c r="I534" s="0" t="n">
        <v>48</v>
      </c>
      <c r="J534" s="0" t="n">
        <v>530</v>
      </c>
      <c r="K534" s="0" t="n">
        <v>37</v>
      </c>
      <c r="L534" s="0" t="n">
        <v>0</v>
      </c>
      <c r="M534" s="0" t="n">
        <v>0</v>
      </c>
      <c r="N534" s="0" t="n">
        <v>7</v>
      </c>
      <c r="O534" s="0" t="n">
        <v>0</v>
      </c>
      <c r="P534" s="0" t="n">
        <v>14</v>
      </c>
      <c r="Q534" s="114" t="n">
        <v>32</v>
      </c>
      <c r="R534" s="114" t="n">
        <v>178</v>
      </c>
      <c r="S534" s="0" t="n">
        <v>193</v>
      </c>
      <c r="T534" s="114" t="n">
        <v>1.25</v>
      </c>
      <c r="U534" s="114" t="n">
        <v>1.25</v>
      </c>
      <c r="V534" s="114" t="n">
        <v>0.85</v>
      </c>
      <c r="W534" s="0" t="s">
        <v>2530</v>
      </c>
      <c r="X534" s="0" t="s">
        <v>58</v>
      </c>
      <c r="Y534" s="0" t="s">
        <v>58</v>
      </c>
      <c r="Z534" s="0" t="s">
        <v>58</v>
      </c>
      <c r="AA534" s="0" t="s">
        <v>2531</v>
      </c>
      <c r="AB534" s="0" t="s">
        <v>2532</v>
      </c>
      <c r="AC534" s="0" t="s">
        <v>2533</v>
      </c>
      <c r="AD534" s="0" t="s">
        <v>58</v>
      </c>
      <c r="AE534" s="0" t="s">
        <v>2534</v>
      </c>
      <c r="AF534" s="0" t="s">
        <v>2535</v>
      </c>
      <c r="AG534" s="0" t="s">
        <v>464</v>
      </c>
      <c r="AH534" s="0" t="s">
        <v>58</v>
      </c>
    </row>
    <row r="535" customFormat="false" ht="14.4" hidden="false" customHeight="false" outlineLevel="0" collapsed="false">
      <c r="A535" s="0" t="n">
        <v>400</v>
      </c>
      <c r="B535" s="0" t="s">
        <v>2536</v>
      </c>
      <c r="C535" s="0" t="s">
        <v>1065</v>
      </c>
      <c r="D535" s="0" t="s">
        <v>438</v>
      </c>
      <c r="E535" s="0" t="s">
        <v>325</v>
      </c>
      <c r="F535" s="0" t="n">
        <v>1496</v>
      </c>
      <c r="G535" s="0" t="s">
        <v>138</v>
      </c>
      <c r="H535" s="0" t="n">
        <v>84</v>
      </c>
      <c r="I535" s="0" t="n">
        <v>43</v>
      </c>
      <c r="J535" s="0" t="n">
        <v>505</v>
      </c>
      <c r="K535" s="0" t="n">
        <v>37</v>
      </c>
      <c r="L535" s="0" t="n">
        <v>0</v>
      </c>
      <c r="M535" s="0" t="n">
        <v>0</v>
      </c>
      <c r="N535" s="0" t="n">
        <v>6</v>
      </c>
      <c r="O535" s="0" t="n">
        <v>0</v>
      </c>
      <c r="P535" s="0" t="n">
        <v>14</v>
      </c>
      <c r="Q535" s="0" t="n">
        <v>22</v>
      </c>
      <c r="R535" s="0" t="n">
        <v>178</v>
      </c>
      <c r="S535" s="0" t="n">
        <v>248</v>
      </c>
      <c r="T535" s="114" t="n">
        <v>1.25</v>
      </c>
      <c r="U535" s="114" t="n">
        <v>1.2</v>
      </c>
      <c r="V535" s="114" t="n">
        <v>0.85</v>
      </c>
      <c r="W535" s="0" t="s">
        <v>2537</v>
      </c>
      <c r="X535" s="0" t="s">
        <v>58</v>
      </c>
      <c r="Y535" s="0" t="s">
        <v>58</v>
      </c>
      <c r="Z535" s="0" t="s">
        <v>58</v>
      </c>
      <c r="AA535" s="0" t="s">
        <v>2538</v>
      </c>
      <c r="AB535" s="0" t="s">
        <v>2522</v>
      </c>
      <c r="AC535" s="0" t="s">
        <v>2539</v>
      </c>
      <c r="AD535" s="0" t="s">
        <v>58</v>
      </c>
      <c r="AE535" s="0" t="s">
        <v>2540</v>
      </c>
      <c r="AF535" s="0" t="s">
        <v>2541</v>
      </c>
      <c r="AG535" s="0" t="s">
        <v>464</v>
      </c>
      <c r="AH535" s="0" t="s">
        <v>58</v>
      </c>
    </row>
    <row r="536" customFormat="false" ht="14.4" hidden="false" customHeight="false" outlineLevel="0" collapsed="false">
      <c r="A536" s="0" t="n">
        <v>386</v>
      </c>
      <c r="B536" s="0" t="s">
        <v>2542</v>
      </c>
      <c r="C536" s="0" t="s">
        <v>1065</v>
      </c>
      <c r="D536" s="0" t="s">
        <v>430</v>
      </c>
      <c r="E536" s="0" t="s">
        <v>325</v>
      </c>
      <c r="F536" s="0" t="n">
        <v>1261</v>
      </c>
      <c r="G536" s="0" t="s">
        <v>138</v>
      </c>
      <c r="H536" s="0" t="n">
        <v>84</v>
      </c>
      <c r="I536" s="0" t="n">
        <v>39</v>
      </c>
      <c r="J536" s="0" t="n">
        <v>499</v>
      </c>
      <c r="K536" s="0" t="n">
        <v>37</v>
      </c>
      <c r="L536" s="0" t="n">
        <v>0</v>
      </c>
      <c r="M536" s="0" t="n">
        <v>0</v>
      </c>
      <c r="N536" s="0" t="n">
        <v>7</v>
      </c>
      <c r="O536" s="0" t="n">
        <v>0</v>
      </c>
      <c r="P536" s="0" t="n">
        <v>14</v>
      </c>
      <c r="Q536" s="0" t="n">
        <v>45</v>
      </c>
      <c r="R536" s="0" t="n">
        <v>178</v>
      </c>
      <c r="S536" s="0" t="n">
        <v>188</v>
      </c>
      <c r="T536" s="114" t="n">
        <v>1.25</v>
      </c>
      <c r="U536" s="114" t="n">
        <v>1.2</v>
      </c>
      <c r="V536" s="114" t="n">
        <v>0.85</v>
      </c>
      <c r="W536" s="0" t="s">
        <v>2543</v>
      </c>
      <c r="X536" s="0" t="s">
        <v>58</v>
      </c>
      <c r="Y536" s="0" t="s">
        <v>58</v>
      </c>
      <c r="Z536" s="0" t="s">
        <v>58</v>
      </c>
      <c r="AA536" s="0" t="s">
        <v>2544</v>
      </c>
      <c r="AB536" s="0" t="s">
        <v>2522</v>
      </c>
      <c r="AC536" s="0" t="s">
        <v>2545</v>
      </c>
      <c r="AD536" s="0" t="s">
        <v>58</v>
      </c>
      <c r="AE536" s="0" t="s">
        <v>2546</v>
      </c>
      <c r="AF536" s="0" t="s">
        <v>2541</v>
      </c>
      <c r="AG536" s="0" t="s">
        <v>464</v>
      </c>
      <c r="AH536" s="0" t="s">
        <v>58</v>
      </c>
    </row>
    <row r="537" customFormat="false" ht="14.4" hidden="false" customHeight="false" outlineLevel="0" collapsed="false">
      <c r="A537" s="0" t="n">
        <v>344</v>
      </c>
      <c r="B537" s="0" t="s">
        <v>2547</v>
      </c>
      <c r="C537" s="0" t="s">
        <v>1065</v>
      </c>
      <c r="D537" s="0" t="s">
        <v>438</v>
      </c>
      <c r="E537" s="0" t="s">
        <v>325</v>
      </c>
      <c r="F537" s="0" t="n">
        <v>1261</v>
      </c>
      <c r="G537" s="0" t="s">
        <v>138</v>
      </c>
      <c r="H537" s="0" t="n">
        <v>84</v>
      </c>
      <c r="I537" s="0" t="n">
        <v>44</v>
      </c>
      <c r="J537" s="0" t="n">
        <v>499</v>
      </c>
      <c r="K537" s="0" t="n">
        <v>37</v>
      </c>
      <c r="L537" s="0" t="n">
        <v>0</v>
      </c>
      <c r="M537" s="0" t="n">
        <v>0</v>
      </c>
      <c r="N537" s="0" t="n">
        <v>6</v>
      </c>
      <c r="O537" s="0" t="n">
        <v>0</v>
      </c>
      <c r="P537" s="0" t="n">
        <v>14</v>
      </c>
      <c r="Q537" s="114" t="n">
        <v>18</v>
      </c>
      <c r="R537" s="114" t="n">
        <v>166</v>
      </c>
      <c r="S537" s="0" t="n">
        <v>188</v>
      </c>
      <c r="T537" s="114" t="n">
        <v>1.35</v>
      </c>
      <c r="U537" s="114" t="n">
        <v>1.15</v>
      </c>
      <c r="V537" s="114" t="n">
        <v>0.8</v>
      </c>
      <c r="W537" s="0" t="s">
        <v>2543</v>
      </c>
      <c r="X537" s="0" t="s">
        <v>58</v>
      </c>
      <c r="Y537" s="0" t="s">
        <v>58</v>
      </c>
      <c r="Z537" s="0" t="s">
        <v>58</v>
      </c>
      <c r="AA537" s="0" t="s">
        <v>2548</v>
      </c>
      <c r="AB537" s="0" t="s">
        <v>2549</v>
      </c>
      <c r="AC537" s="0" t="s">
        <v>2550</v>
      </c>
      <c r="AD537" s="0" t="s">
        <v>58</v>
      </c>
      <c r="AE537" s="0" t="s">
        <v>2551</v>
      </c>
      <c r="AF537" s="0" t="s">
        <v>2541</v>
      </c>
      <c r="AG537" s="0" t="s">
        <v>464</v>
      </c>
      <c r="AH537" s="0" t="s">
        <v>58</v>
      </c>
    </row>
    <row r="538" customFormat="false" ht="14.4" hidden="false" customHeight="false" outlineLevel="0" collapsed="false">
      <c r="A538" s="0" t="n">
        <v>387</v>
      </c>
      <c r="B538" s="0" t="s">
        <v>2552</v>
      </c>
      <c r="C538" s="0" t="s">
        <v>1065</v>
      </c>
      <c r="D538" s="0" t="s">
        <v>430</v>
      </c>
      <c r="E538" s="0" t="s">
        <v>325</v>
      </c>
      <c r="F538" s="0" t="n">
        <v>1250</v>
      </c>
      <c r="G538" s="0" t="s">
        <v>138</v>
      </c>
      <c r="H538" s="0" t="n">
        <v>84</v>
      </c>
      <c r="I538" s="0" t="n">
        <v>45</v>
      </c>
      <c r="J538" s="0" t="n">
        <v>523</v>
      </c>
      <c r="K538" s="0" t="n">
        <v>37</v>
      </c>
      <c r="L538" s="0" t="n">
        <v>0</v>
      </c>
      <c r="M538" s="0" t="n">
        <v>0</v>
      </c>
      <c r="N538" s="0" t="n">
        <v>7</v>
      </c>
      <c r="O538" s="0" t="n">
        <v>0</v>
      </c>
      <c r="P538" s="0" t="n">
        <v>14</v>
      </c>
      <c r="Q538" s="0" t="n">
        <v>35</v>
      </c>
      <c r="R538" s="0" t="n">
        <v>167</v>
      </c>
      <c r="S538" s="0" t="n">
        <v>188</v>
      </c>
      <c r="T538" s="114" t="n">
        <v>1.25</v>
      </c>
      <c r="U538" s="114" t="n">
        <v>1.2</v>
      </c>
      <c r="V538" s="114" t="n">
        <v>0.85</v>
      </c>
      <c r="W538" s="0" t="s">
        <v>2553</v>
      </c>
      <c r="X538" s="0" t="s">
        <v>58</v>
      </c>
      <c r="Y538" s="0" t="s">
        <v>58</v>
      </c>
      <c r="Z538" s="0" t="s">
        <v>58</v>
      </c>
      <c r="AA538" s="0" t="s">
        <v>2488</v>
      </c>
      <c r="AB538" s="0" t="s">
        <v>2522</v>
      </c>
      <c r="AC538" s="0" t="s">
        <v>2554</v>
      </c>
      <c r="AD538" s="0" t="s">
        <v>58</v>
      </c>
      <c r="AE538" s="0" t="s">
        <v>2489</v>
      </c>
      <c r="AF538" s="0" t="s">
        <v>2541</v>
      </c>
      <c r="AG538" s="0" t="s">
        <v>464</v>
      </c>
      <c r="AH538" s="0" t="s">
        <v>58</v>
      </c>
    </row>
    <row r="539" customFormat="false" ht="14.4" hidden="false" customHeight="false" outlineLevel="0" collapsed="false">
      <c r="A539" s="0" t="n">
        <v>341</v>
      </c>
      <c r="B539" s="0" t="s">
        <v>2555</v>
      </c>
      <c r="C539" s="0" t="s">
        <v>1065</v>
      </c>
      <c r="D539" s="0" t="s">
        <v>430</v>
      </c>
      <c r="E539" s="0" t="s">
        <v>325</v>
      </c>
      <c r="F539" s="0" t="n">
        <v>1309</v>
      </c>
      <c r="G539" s="0" t="s">
        <v>138</v>
      </c>
      <c r="H539" s="0" t="n">
        <v>109</v>
      </c>
      <c r="I539" s="0" t="n">
        <v>50</v>
      </c>
      <c r="J539" s="0" t="n">
        <v>555</v>
      </c>
      <c r="K539" s="0" t="n">
        <v>37</v>
      </c>
      <c r="L539" s="0" t="n">
        <v>0</v>
      </c>
      <c r="M539" s="0" t="n">
        <v>0</v>
      </c>
      <c r="N539" s="0" t="n">
        <v>7</v>
      </c>
      <c r="O539" s="0" t="n">
        <v>0</v>
      </c>
      <c r="P539" s="0" t="n">
        <v>14</v>
      </c>
      <c r="Q539" s="114" t="n">
        <v>23</v>
      </c>
      <c r="R539" s="114" t="n">
        <v>174</v>
      </c>
      <c r="S539" s="0" t="n">
        <v>188</v>
      </c>
      <c r="T539" s="114" t="n">
        <v>1.3</v>
      </c>
      <c r="U539" s="114" t="n">
        <v>1.25</v>
      </c>
      <c r="V539" s="114" t="n">
        <v>0.85</v>
      </c>
      <c r="W539" s="0" t="s">
        <v>2556</v>
      </c>
      <c r="X539" s="0" t="s">
        <v>58</v>
      </c>
      <c r="Y539" s="0" t="s">
        <v>58</v>
      </c>
      <c r="Z539" s="0" t="s">
        <v>58</v>
      </c>
      <c r="AA539" s="0" t="s">
        <v>2557</v>
      </c>
      <c r="AB539" s="0" t="s">
        <v>2558</v>
      </c>
      <c r="AC539" s="0" t="s">
        <v>2559</v>
      </c>
      <c r="AD539" s="0" t="s">
        <v>58</v>
      </c>
      <c r="AE539" s="0" t="s">
        <v>2560</v>
      </c>
      <c r="AF539" s="0" t="s">
        <v>2561</v>
      </c>
      <c r="AG539" s="0" t="s">
        <v>464</v>
      </c>
      <c r="AH539" s="0" t="s">
        <v>58</v>
      </c>
    </row>
    <row r="540" customFormat="false" ht="14.4" hidden="false" customHeight="false" outlineLevel="0" collapsed="false">
      <c r="A540" s="0" t="n">
        <v>467</v>
      </c>
      <c r="B540" s="0" t="s">
        <v>2562</v>
      </c>
      <c r="C540" s="0" t="s">
        <v>1065</v>
      </c>
      <c r="D540" s="0" t="s">
        <v>430</v>
      </c>
      <c r="E540" s="0" t="s">
        <v>325</v>
      </c>
      <c r="F540" s="0" t="n">
        <v>1306</v>
      </c>
      <c r="G540" s="0" t="s">
        <v>138</v>
      </c>
      <c r="H540" s="0" t="n">
        <v>109</v>
      </c>
      <c r="I540" s="0" t="n">
        <v>52</v>
      </c>
      <c r="J540" s="0" t="n">
        <v>536</v>
      </c>
      <c r="K540" s="0" t="n">
        <v>37</v>
      </c>
      <c r="L540" s="0" t="n">
        <v>0</v>
      </c>
      <c r="M540" s="0" t="n">
        <v>0</v>
      </c>
      <c r="N540" s="0" t="n">
        <v>7</v>
      </c>
      <c r="O540" s="0" t="n">
        <v>0</v>
      </c>
      <c r="P540" s="0" t="n">
        <v>14</v>
      </c>
      <c r="Q540" s="0" t="n">
        <v>62</v>
      </c>
      <c r="R540" s="0" t="n">
        <v>183</v>
      </c>
      <c r="S540" s="0" t="n">
        <v>188</v>
      </c>
      <c r="T540" s="114" t="n">
        <v>1.25</v>
      </c>
      <c r="U540" s="114" t="n">
        <v>1.25</v>
      </c>
      <c r="V540" s="114" t="n">
        <v>0.85</v>
      </c>
      <c r="W540" s="0" t="s">
        <v>2563</v>
      </c>
      <c r="X540" s="0" t="s">
        <v>2564</v>
      </c>
      <c r="Y540" s="0" t="s">
        <v>58</v>
      </c>
      <c r="Z540" s="0" t="s">
        <v>58</v>
      </c>
      <c r="AA540" s="0" t="s">
        <v>2565</v>
      </c>
      <c r="AB540" s="0" t="s">
        <v>2566</v>
      </c>
      <c r="AC540" s="0" t="s">
        <v>2567</v>
      </c>
      <c r="AD540" s="0" t="s">
        <v>58</v>
      </c>
      <c r="AE540" s="0" t="s">
        <v>2568</v>
      </c>
      <c r="AF540" s="0" t="s">
        <v>2569</v>
      </c>
      <c r="AG540" s="0" t="s">
        <v>464</v>
      </c>
      <c r="AH540" s="0" t="s">
        <v>58</v>
      </c>
    </row>
    <row r="542" customFormat="false" ht="14.4" hidden="false" customHeight="false" outlineLevel="0" collapsed="false">
      <c r="A542" s="144" t="s">
        <v>415</v>
      </c>
      <c r="B542" s="144" t="s">
        <v>97</v>
      </c>
      <c r="C542" s="163" t="s">
        <v>139</v>
      </c>
      <c r="D542" s="164" t="s">
        <v>416</v>
      </c>
      <c r="E542" s="164" t="s">
        <v>96</v>
      </c>
      <c r="F542" s="164" t="s">
        <v>45</v>
      </c>
      <c r="G542" s="144" t="s">
        <v>417</v>
      </c>
      <c r="H542" s="164" t="s">
        <v>100</v>
      </c>
      <c r="I542" s="164" t="s">
        <v>98</v>
      </c>
      <c r="J542" s="164" t="s">
        <v>99</v>
      </c>
      <c r="K542" s="164" t="s">
        <v>46</v>
      </c>
      <c r="L542" s="164" t="s">
        <v>50</v>
      </c>
      <c r="M542" s="164" t="s">
        <v>262</v>
      </c>
      <c r="N542" s="164" t="s">
        <v>418</v>
      </c>
      <c r="O542" s="164" t="s">
        <v>105</v>
      </c>
      <c r="P542" s="164" t="s">
        <v>419</v>
      </c>
      <c r="Q542" s="164" t="s">
        <v>420</v>
      </c>
      <c r="R542" s="164" t="s">
        <v>421</v>
      </c>
      <c r="S542" s="137" t="s">
        <v>335</v>
      </c>
      <c r="T542" s="137" t="s">
        <v>151</v>
      </c>
      <c r="U542" s="137" t="s">
        <v>155</v>
      </c>
      <c r="V542" s="137" t="s">
        <v>346</v>
      </c>
      <c r="W542" s="137" t="s">
        <v>2119</v>
      </c>
      <c r="X542" s="137" t="s">
        <v>1779</v>
      </c>
      <c r="Y542" s="137" t="s">
        <v>2120</v>
      </c>
      <c r="Z542" s="137" t="s">
        <v>1776</v>
      </c>
      <c r="AA542" s="137" t="s">
        <v>1777</v>
      </c>
      <c r="AB542" s="137" t="s">
        <v>1778</v>
      </c>
      <c r="AC542" s="137" t="s">
        <v>441</v>
      </c>
      <c r="AD542" s="137" t="s">
        <v>452</v>
      </c>
      <c r="AE542" s="137" t="s">
        <v>453</v>
      </c>
      <c r="AF542" s="137" t="s">
        <v>454</v>
      </c>
      <c r="AG542" s="137" t="s">
        <v>422</v>
      </c>
      <c r="AH542" s="137" t="s">
        <v>423</v>
      </c>
      <c r="AI542" s="137" t="s">
        <v>424</v>
      </c>
      <c r="AJ542" s="137" t="s">
        <v>455</v>
      </c>
      <c r="AK542" s="137" t="s">
        <v>425</v>
      </c>
      <c r="AL542" s="137" t="s">
        <v>426</v>
      </c>
      <c r="AM542" s="137" t="s">
        <v>427</v>
      </c>
      <c r="AN542" s="137" t="s">
        <v>456</v>
      </c>
    </row>
    <row r="543" customFormat="false" ht="14.4" hidden="false" customHeight="false" outlineLevel="0" collapsed="false">
      <c r="A543" s="0" t="n">
        <v>381</v>
      </c>
      <c r="B543" s="0" t="s">
        <v>358</v>
      </c>
      <c r="C543" s="165" t="s">
        <v>429</v>
      </c>
      <c r="D543" s="166" t="s">
        <v>430</v>
      </c>
      <c r="E543" s="166" t="s">
        <v>357</v>
      </c>
      <c r="F543" s="166" t="n">
        <v>2657</v>
      </c>
      <c r="G543" s="166" t="s">
        <v>138</v>
      </c>
      <c r="H543" s="166" t="n">
        <v>109</v>
      </c>
      <c r="I543" s="166" t="n">
        <v>59</v>
      </c>
      <c r="J543" s="166" t="n">
        <v>514</v>
      </c>
      <c r="K543" s="166" t="n">
        <v>36</v>
      </c>
      <c r="L543" s="166" t="n">
        <v>0</v>
      </c>
      <c r="M543" s="166" t="n">
        <v>252</v>
      </c>
      <c r="N543" s="166" t="n">
        <v>8</v>
      </c>
      <c r="O543" s="166" t="n">
        <v>0</v>
      </c>
      <c r="P543" s="166" t="n">
        <v>13</v>
      </c>
      <c r="Q543" s="166" t="n">
        <v>20</v>
      </c>
      <c r="R543" s="166" t="n">
        <v>172</v>
      </c>
      <c r="S543" s="167" t="n">
        <v>238</v>
      </c>
      <c r="T543" s="168" t="n">
        <v>1.35</v>
      </c>
      <c r="U543" s="168" t="n">
        <v>1.15</v>
      </c>
      <c r="V543" s="168" t="n">
        <v>1.5</v>
      </c>
      <c r="W543" s="167" t="n">
        <v>0</v>
      </c>
      <c r="X543" s="167" t="n">
        <v>0</v>
      </c>
      <c r="Y543" s="167" t="n">
        <v>2</v>
      </c>
      <c r="Z543" s="167" t="s">
        <v>99</v>
      </c>
      <c r="AA543" s="167" t="s">
        <v>99</v>
      </c>
      <c r="AB543" s="167" t="s">
        <v>1858</v>
      </c>
      <c r="AC543" s="167" t="s">
        <v>2570</v>
      </c>
      <c r="AD543" s="0" t="s">
        <v>58</v>
      </c>
      <c r="AE543" s="0" t="s">
        <v>58</v>
      </c>
      <c r="AF543" s="0" t="s">
        <v>58</v>
      </c>
      <c r="AG543" s="167" t="s">
        <v>2571</v>
      </c>
      <c r="AH543" s="167" t="s">
        <v>2572</v>
      </c>
      <c r="AI543" s="167" t="s">
        <v>2573</v>
      </c>
      <c r="AJ543" s="0" t="s">
        <v>58</v>
      </c>
      <c r="AK543" s="167" t="s">
        <v>2574</v>
      </c>
      <c r="AL543" s="167" t="s">
        <v>2467</v>
      </c>
      <c r="AM543" s="167" t="s">
        <v>464</v>
      </c>
      <c r="AN543" s="0" t="s">
        <v>58</v>
      </c>
    </row>
    <row r="545" customFormat="false" ht="14.4" hidden="false" customHeight="false" outlineLevel="0" collapsed="false">
      <c r="A545" s="144" t="s">
        <v>2575</v>
      </c>
      <c r="B545" s="144" t="s">
        <v>96</v>
      </c>
      <c r="D545" s="0" t="s">
        <v>2576</v>
      </c>
    </row>
    <row r="546" customFormat="false" ht="14.4" hidden="false" customHeight="false" outlineLevel="0" collapsed="false">
      <c r="A546" s="0" t="s">
        <v>114</v>
      </c>
      <c r="B546" s="0" t="s">
        <v>2577</v>
      </c>
    </row>
    <row r="547" customFormat="false" ht="14.4" hidden="false" customHeight="false" outlineLevel="0" collapsed="false">
      <c r="A547" s="0" t="s">
        <v>1784</v>
      </c>
      <c r="B547" s="0" t="s">
        <v>2577</v>
      </c>
    </row>
    <row r="548" customFormat="false" ht="14.4" hidden="false" customHeight="false" outlineLevel="0" collapsed="false">
      <c r="A548" s="0" t="s">
        <v>2123</v>
      </c>
      <c r="B548" s="0" t="s">
        <v>2578</v>
      </c>
    </row>
    <row r="549" customFormat="false" ht="14.4" hidden="false" customHeight="false" outlineLevel="0" collapsed="false">
      <c r="A549" s="0" t="s">
        <v>74</v>
      </c>
      <c r="B549" s="0" t="s">
        <v>2579</v>
      </c>
    </row>
    <row r="550" customFormat="false" ht="14.4" hidden="false" customHeight="false" outlineLevel="0" collapsed="false">
      <c r="A550" s="0" t="s">
        <v>394</v>
      </c>
      <c r="B550" s="0" t="s">
        <v>2580</v>
      </c>
    </row>
    <row r="551" customFormat="false" ht="14.4" hidden="false" customHeight="false" outlineLevel="0" collapsed="false">
      <c r="A551" s="0" t="s">
        <v>1557</v>
      </c>
      <c r="B551" s="0" t="s">
        <v>2580</v>
      </c>
    </row>
    <row r="552" customFormat="false" ht="14.4" hidden="false" customHeight="false" outlineLevel="0" collapsed="false">
      <c r="A552" s="0" t="s">
        <v>242</v>
      </c>
      <c r="B552" s="0" t="s">
        <v>2581</v>
      </c>
    </row>
    <row r="553" customFormat="false" ht="14.4" hidden="false" customHeight="false" outlineLevel="0" collapsed="false">
      <c r="A553" s="0" t="s">
        <v>121</v>
      </c>
      <c r="B553" s="0" t="s">
        <v>2582</v>
      </c>
    </row>
    <row r="554" customFormat="false" ht="14.4" hidden="false" customHeight="false" outlineLevel="0" collapsed="false">
      <c r="A554" s="0" t="s">
        <v>2583</v>
      </c>
      <c r="B554" s="0" t="s">
        <v>2583</v>
      </c>
    </row>
    <row r="555" customFormat="false" ht="14.4" hidden="false" customHeight="false" outlineLevel="0" collapsed="false">
      <c r="A555" s="0" t="s">
        <v>363</v>
      </c>
      <c r="B555" s="0" t="s">
        <v>2584</v>
      </c>
    </row>
    <row r="556" customFormat="false" ht="14.4" hidden="false" customHeight="false" outlineLevel="0" collapsed="false">
      <c r="A556" s="0" t="s">
        <v>325</v>
      </c>
      <c r="B556" s="0" t="s">
        <v>2585</v>
      </c>
    </row>
    <row r="557" customFormat="false" ht="14.4" hidden="false" customHeight="false" outlineLevel="0" collapsed="false">
      <c r="A557" s="0" t="s">
        <v>357</v>
      </c>
      <c r="B557" s="0" t="s">
        <v>2586</v>
      </c>
    </row>
    <row r="559" customFormat="false" ht="13.8" hidden="false" customHeight="false" outlineLevel="0" collapsed="false">
      <c r="A559" s="144" t="s">
        <v>97</v>
      </c>
      <c r="B559" s="144" t="s">
        <v>96</v>
      </c>
      <c r="O559" s="114"/>
      <c r="P559" s="114"/>
    </row>
    <row r="560" customFormat="false" ht="13.8" hidden="false" customHeight="false" outlineLevel="0" collapsed="false">
      <c r="A560" s="144" t="s">
        <v>428</v>
      </c>
      <c r="B560" s="144" t="s">
        <v>363</v>
      </c>
      <c r="O560" s="114"/>
      <c r="P560" s="114"/>
    </row>
    <row r="561" customFormat="false" ht="13.8" hidden="false" customHeight="false" outlineLevel="0" collapsed="false">
      <c r="A561" s="0" t="s">
        <v>364</v>
      </c>
      <c r="B561" s="0" t="s">
        <v>363</v>
      </c>
      <c r="O561" s="114"/>
      <c r="P561" s="114"/>
    </row>
    <row r="562" customFormat="false" ht="13.8" hidden="false" customHeight="false" outlineLevel="0" collapsed="false">
      <c r="A562" s="0" t="s">
        <v>1787</v>
      </c>
      <c r="B562" s="0" t="s">
        <v>114</v>
      </c>
      <c r="O562" s="114"/>
      <c r="P562" s="114"/>
    </row>
    <row r="563" customFormat="false" ht="13.8" hidden="false" customHeight="false" outlineLevel="0" collapsed="false">
      <c r="A563" s="0" t="s">
        <v>1793</v>
      </c>
      <c r="B563" s="0" t="s">
        <v>114</v>
      </c>
      <c r="O563" s="114"/>
      <c r="P563" s="114"/>
    </row>
    <row r="564" customFormat="false" ht="13.8" hidden="false" customHeight="false" outlineLevel="0" collapsed="false">
      <c r="A564" s="0" t="s">
        <v>1805</v>
      </c>
      <c r="B564" s="0" t="s">
        <v>114</v>
      </c>
      <c r="O564" s="114"/>
      <c r="P564" s="114"/>
    </row>
    <row r="565" customFormat="false" ht="13.8" hidden="false" customHeight="false" outlineLevel="0" collapsed="false">
      <c r="A565" s="0" t="s">
        <v>1808</v>
      </c>
      <c r="B565" s="0" t="s">
        <v>114</v>
      </c>
      <c r="O565" s="114"/>
      <c r="P565" s="114"/>
    </row>
    <row r="566" customFormat="false" ht="13.8" hidden="false" customHeight="false" outlineLevel="0" collapsed="false">
      <c r="A566" s="0" t="s">
        <v>1810</v>
      </c>
      <c r="B566" s="0" t="s">
        <v>114</v>
      </c>
      <c r="O566" s="114"/>
      <c r="P566" s="114"/>
    </row>
    <row r="567" customFormat="false" ht="13.8" hidden="false" customHeight="false" outlineLevel="0" collapsed="false">
      <c r="A567" s="0" t="s">
        <v>1818</v>
      </c>
      <c r="B567" s="0" t="s">
        <v>114</v>
      </c>
      <c r="O567" s="114"/>
      <c r="P567" s="114"/>
    </row>
    <row r="568" customFormat="false" ht="13.8" hidden="false" customHeight="false" outlineLevel="0" collapsed="false">
      <c r="A568" s="0" t="s">
        <v>1823</v>
      </c>
      <c r="B568" s="0" t="s">
        <v>114</v>
      </c>
      <c r="O568" s="114"/>
      <c r="P568" s="114"/>
    </row>
    <row r="569" customFormat="false" ht="13.8" hidden="false" customHeight="false" outlineLevel="0" collapsed="false">
      <c r="A569" s="0" t="s">
        <v>1827</v>
      </c>
      <c r="B569" s="0" t="s">
        <v>114</v>
      </c>
      <c r="O569" s="114"/>
      <c r="P569" s="114"/>
    </row>
    <row r="570" customFormat="false" ht="13.8" hidden="false" customHeight="false" outlineLevel="0" collapsed="false">
      <c r="A570" s="0" t="s">
        <v>115</v>
      </c>
      <c r="B570" s="0" t="s">
        <v>114</v>
      </c>
      <c r="O570" s="114"/>
      <c r="P570" s="114"/>
    </row>
    <row r="571" customFormat="false" ht="13.8" hidden="false" customHeight="false" outlineLevel="0" collapsed="false">
      <c r="A571" s="0" t="s">
        <v>1834</v>
      </c>
      <c r="B571" s="0" t="s">
        <v>114</v>
      </c>
      <c r="O571" s="114"/>
      <c r="P571" s="114"/>
    </row>
    <row r="572" customFormat="false" ht="13.8" hidden="false" customHeight="false" outlineLevel="0" collapsed="false">
      <c r="A572" s="0" t="s">
        <v>1844</v>
      </c>
      <c r="B572" s="0" t="s">
        <v>114</v>
      </c>
      <c r="O572" s="114"/>
      <c r="P572" s="114"/>
    </row>
    <row r="573" customFormat="false" ht="13.8" hidden="false" customHeight="false" outlineLevel="0" collapsed="false">
      <c r="A573" s="0" t="s">
        <v>1854</v>
      </c>
      <c r="B573" s="0" t="s">
        <v>114</v>
      </c>
      <c r="O573" s="114"/>
      <c r="P573" s="114"/>
    </row>
    <row r="574" customFormat="false" ht="13.8" hidden="false" customHeight="false" outlineLevel="0" collapsed="false">
      <c r="A574" s="0" t="s">
        <v>1856</v>
      </c>
      <c r="B574" s="0" t="s">
        <v>114</v>
      </c>
      <c r="O574" s="114"/>
      <c r="P574" s="114"/>
    </row>
    <row r="575" customFormat="false" ht="13.8" hidden="false" customHeight="false" outlineLevel="0" collapsed="false">
      <c r="A575" s="0" t="s">
        <v>1863</v>
      </c>
      <c r="B575" s="0" t="s">
        <v>114</v>
      </c>
      <c r="O575" s="114"/>
      <c r="P575" s="114"/>
    </row>
    <row r="576" customFormat="false" ht="13.8" hidden="false" customHeight="false" outlineLevel="0" collapsed="false">
      <c r="A576" s="0" t="s">
        <v>1879</v>
      </c>
      <c r="B576" s="0" t="s">
        <v>114</v>
      </c>
      <c r="O576" s="114"/>
      <c r="P576" s="114"/>
    </row>
    <row r="577" customFormat="false" ht="13.8" hidden="false" customHeight="false" outlineLevel="0" collapsed="false">
      <c r="A577" s="0" t="s">
        <v>1886</v>
      </c>
      <c r="B577" s="0" t="s">
        <v>114</v>
      </c>
      <c r="O577" s="114"/>
      <c r="P577" s="114"/>
    </row>
    <row r="578" customFormat="false" ht="13.8" hidden="false" customHeight="false" outlineLevel="0" collapsed="false">
      <c r="A578" s="0" t="s">
        <v>1891</v>
      </c>
      <c r="B578" s="0" t="s">
        <v>114</v>
      </c>
      <c r="O578" s="114"/>
      <c r="P578" s="114"/>
    </row>
    <row r="579" customFormat="false" ht="13.8" hidden="false" customHeight="false" outlineLevel="0" collapsed="false">
      <c r="A579" s="0" t="s">
        <v>1896</v>
      </c>
      <c r="B579" s="0" t="s">
        <v>114</v>
      </c>
      <c r="O579" s="114"/>
      <c r="P579" s="114"/>
    </row>
    <row r="580" customFormat="false" ht="13.8" hidden="false" customHeight="false" outlineLevel="0" collapsed="false">
      <c r="A580" s="0" t="s">
        <v>1899</v>
      </c>
      <c r="B580" s="0" t="s">
        <v>114</v>
      </c>
      <c r="O580" s="114"/>
      <c r="P580" s="114"/>
    </row>
    <row r="581" customFormat="false" ht="13.8" hidden="false" customHeight="false" outlineLevel="0" collapsed="false">
      <c r="A581" s="0" t="s">
        <v>1902</v>
      </c>
      <c r="B581" s="0" t="s">
        <v>114</v>
      </c>
      <c r="O581" s="114"/>
      <c r="P581" s="114"/>
    </row>
    <row r="582" customFormat="false" ht="13.8" hidden="false" customHeight="false" outlineLevel="0" collapsed="false">
      <c r="A582" s="0" t="s">
        <v>1906</v>
      </c>
      <c r="B582" s="0" t="s">
        <v>114</v>
      </c>
      <c r="O582" s="114"/>
      <c r="P582" s="114"/>
    </row>
    <row r="583" customFormat="false" ht="13.8" hidden="false" customHeight="false" outlineLevel="0" collapsed="false">
      <c r="A583" s="0" t="s">
        <v>1909</v>
      </c>
      <c r="B583" s="0" t="s">
        <v>114</v>
      </c>
      <c r="O583" s="114"/>
      <c r="P583" s="114"/>
    </row>
    <row r="584" customFormat="false" ht="13.8" hidden="false" customHeight="false" outlineLevel="0" collapsed="false">
      <c r="A584" s="0" t="s">
        <v>1912</v>
      </c>
      <c r="B584" s="0" t="s">
        <v>114</v>
      </c>
      <c r="O584" s="114"/>
      <c r="P584" s="114"/>
    </row>
    <row r="585" customFormat="false" ht="13.8" hidden="false" customHeight="false" outlineLevel="0" collapsed="false">
      <c r="A585" s="0" t="s">
        <v>305</v>
      </c>
      <c r="B585" s="0" t="s">
        <v>114</v>
      </c>
      <c r="O585" s="114"/>
      <c r="P585" s="114"/>
    </row>
    <row r="586" customFormat="false" ht="13.8" hidden="false" customHeight="false" outlineLevel="0" collapsed="false">
      <c r="A586" s="0" t="s">
        <v>1918</v>
      </c>
      <c r="B586" s="0" t="s">
        <v>114</v>
      </c>
      <c r="O586" s="114"/>
      <c r="P586" s="114"/>
    </row>
    <row r="587" customFormat="false" ht="13.8" hidden="false" customHeight="false" outlineLevel="0" collapsed="false">
      <c r="A587" s="0" t="s">
        <v>1925</v>
      </c>
      <c r="B587" s="0" t="s">
        <v>114</v>
      </c>
      <c r="O587" s="114"/>
      <c r="P587" s="114"/>
    </row>
    <row r="588" customFormat="false" ht="13.8" hidden="false" customHeight="false" outlineLevel="0" collapsed="false">
      <c r="A588" s="0" t="s">
        <v>1930</v>
      </c>
      <c r="B588" s="0" t="s">
        <v>114</v>
      </c>
      <c r="O588" s="114"/>
      <c r="P588" s="114"/>
    </row>
    <row r="589" customFormat="false" ht="13.8" hidden="false" customHeight="false" outlineLevel="0" collapsed="false">
      <c r="A589" s="0" t="s">
        <v>1947</v>
      </c>
      <c r="B589" s="0" t="s">
        <v>114</v>
      </c>
      <c r="O589" s="114"/>
      <c r="P589" s="114"/>
    </row>
    <row r="590" customFormat="false" ht="13.8" hidden="false" customHeight="false" outlineLevel="0" collapsed="false">
      <c r="A590" s="0" t="s">
        <v>1954</v>
      </c>
      <c r="B590" s="0" t="s">
        <v>114</v>
      </c>
      <c r="O590" s="114"/>
      <c r="P590" s="114"/>
    </row>
    <row r="591" customFormat="false" ht="13.8" hidden="false" customHeight="false" outlineLevel="0" collapsed="false">
      <c r="A591" s="0" t="s">
        <v>1957</v>
      </c>
      <c r="B591" s="0" t="s">
        <v>114</v>
      </c>
      <c r="O591" s="114"/>
      <c r="P591" s="114"/>
    </row>
    <row r="592" customFormat="false" ht="13.8" hidden="false" customHeight="false" outlineLevel="0" collapsed="false">
      <c r="A592" s="0" t="s">
        <v>1960</v>
      </c>
      <c r="B592" s="0" t="s">
        <v>114</v>
      </c>
      <c r="O592" s="114"/>
      <c r="P592" s="114"/>
    </row>
    <row r="593" customFormat="false" ht="13.8" hidden="false" customHeight="false" outlineLevel="0" collapsed="false">
      <c r="A593" s="0" t="s">
        <v>1966</v>
      </c>
      <c r="B593" s="0" t="s">
        <v>114</v>
      </c>
      <c r="O593" s="114"/>
      <c r="P593" s="114"/>
    </row>
    <row r="594" customFormat="false" ht="13.8" hidden="false" customHeight="false" outlineLevel="0" collapsed="false">
      <c r="A594" s="0" t="s">
        <v>1974</v>
      </c>
      <c r="B594" s="0" t="s">
        <v>114</v>
      </c>
      <c r="O594" s="114"/>
      <c r="P594" s="114"/>
    </row>
    <row r="595" customFormat="false" ht="13.8" hidden="false" customHeight="false" outlineLevel="0" collapsed="false">
      <c r="A595" s="0" t="s">
        <v>1978</v>
      </c>
      <c r="B595" s="0" t="s">
        <v>114</v>
      </c>
      <c r="O595" s="114"/>
      <c r="P595" s="114"/>
    </row>
    <row r="596" customFormat="false" ht="13.8" hidden="false" customHeight="false" outlineLevel="0" collapsed="false">
      <c r="A596" s="0" t="s">
        <v>1983</v>
      </c>
      <c r="B596" s="0" t="s">
        <v>114</v>
      </c>
      <c r="O596" s="114"/>
      <c r="P596" s="114"/>
    </row>
    <row r="597" customFormat="false" ht="13.8" hidden="false" customHeight="false" outlineLevel="0" collapsed="false">
      <c r="A597" s="0" t="s">
        <v>393</v>
      </c>
      <c r="B597" s="0" t="s">
        <v>114</v>
      </c>
      <c r="O597" s="114"/>
      <c r="P597" s="114"/>
    </row>
    <row r="598" customFormat="false" ht="13.8" hidden="false" customHeight="false" outlineLevel="0" collapsed="false">
      <c r="A598" s="0" t="s">
        <v>1993</v>
      </c>
      <c r="B598" s="0" t="s">
        <v>114</v>
      </c>
      <c r="O598" s="114"/>
      <c r="P598" s="114"/>
    </row>
    <row r="599" customFormat="false" ht="13.8" hidden="false" customHeight="false" outlineLevel="0" collapsed="false">
      <c r="A599" s="0" t="s">
        <v>1998</v>
      </c>
      <c r="B599" s="0" t="s">
        <v>114</v>
      </c>
      <c r="O599" s="114"/>
      <c r="P599" s="114"/>
    </row>
    <row r="600" customFormat="false" ht="13.8" hidden="false" customHeight="false" outlineLevel="0" collapsed="false">
      <c r="A600" s="0" t="s">
        <v>2001</v>
      </c>
      <c r="B600" s="0" t="s">
        <v>114</v>
      </c>
      <c r="O600" s="114"/>
      <c r="P600" s="114"/>
    </row>
    <row r="601" customFormat="false" ht="13.8" hidden="false" customHeight="false" outlineLevel="0" collapsed="false">
      <c r="A601" s="0" t="s">
        <v>2003</v>
      </c>
      <c r="B601" s="0" t="s">
        <v>114</v>
      </c>
      <c r="O601" s="114"/>
      <c r="P601" s="114"/>
    </row>
    <row r="602" customFormat="false" ht="13.8" hidden="false" customHeight="false" outlineLevel="0" collapsed="false">
      <c r="A602" s="0" t="s">
        <v>2005</v>
      </c>
      <c r="B602" s="0" t="s">
        <v>114</v>
      </c>
      <c r="O602" s="114"/>
      <c r="P602" s="114"/>
    </row>
    <row r="603" customFormat="false" ht="13.8" hidden="false" customHeight="false" outlineLevel="0" collapsed="false">
      <c r="A603" s="0" t="s">
        <v>2007</v>
      </c>
      <c r="B603" s="0" t="s">
        <v>114</v>
      </c>
      <c r="O603" s="114"/>
      <c r="P603" s="114"/>
    </row>
    <row r="604" customFormat="false" ht="13.8" hidden="false" customHeight="false" outlineLevel="0" collapsed="false">
      <c r="A604" s="0" t="s">
        <v>2016</v>
      </c>
      <c r="B604" s="0" t="s">
        <v>114</v>
      </c>
      <c r="O604" s="114"/>
      <c r="P604" s="114"/>
    </row>
    <row r="605" customFormat="false" ht="13.8" hidden="false" customHeight="false" outlineLevel="0" collapsed="false">
      <c r="A605" s="0" t="s">
        <v>2017</v>
      </c>
      <c r="B605" s="0" t="s">
        <v>114</v>
      </c>
      <c r="O605" s="114"/>
      <c r="P605" s="114"/>
    </row>
    <row r="606" customFormat="false" ht="13.8" hidden="false" customHeight="false" outlineLevel="0" collapsed="false">
      <c r="A606" s="0" t="s">
        <v>2018</v>
      </c>
      <c r="B606" s="0" t="s">
        <v>114</v>
      </c>
      <c r="O606" s="114"/>
      <c r="P606" s="114"/>
    </row>
    <row r="607" customFormat="false" ht="13.8" hidden="false" customHeight="false" outlineLevel="0" collapsed="false">
      <c r="A607" s="0" t="s">
        <v>2021</v>
      </c>
      <c r="B607" s="0" t="s">
        <v>114</v>
      </c>
      <c r="O607" s="114"/>
      <c r="P607" s="114"/>
    </row>
    <row r="608" customFormat="false" ht="13.8" hidden="false" customHeight="false" outlineLevel="0" collapsed="false">
      <c r="A608" s="0" t="s">
        <v>2024</v>
      </c>
      <c r="B608" s="0" t="s">
        <v>114</v>
      </c>
      <c r="O608" s="114"/>
      <c r="P608" s="114"/>
    </row>
    <row r="609" customFormat="false" ht="13.8" hidden="false" customHeight="false" outlineLevel="0" collapsed="false">
      <c r="A609" s="0" t="s">
        <v>2027</v>
      </c>
      <c r="B609" s="0" t="s">
        <v>114</v>
      </c>
      <c r="O609" s="114"/>
      <c r="P609" s="114"/>
    </row>
    <row r="610" customFormat="false" ht="13.8" hidden="false" customHeight="false" outlineLevel="0" collapsed="false">
      <c r="A610" s="0" t="s">
        <v>2030</v>
      </c>
      <c r="B610" s="0" t="s">
        <v>114</v>
      </c>
      <c r="O610" s="114"/>
      <c r="P610" s="114"/>
    </row>
    <row r="611" customFormat="false" ht="13.8" hidden="false" customHeight="false" outlineLevel="0" collapsed="false">
      <c r="A611" s="0" t="s">
        <v>2035</v>
      </c>
      <c r="B611" s="0" t="s">
        <v>114</v>
      </c>
      <c r="O611" s="114"/>
      <c r="P611" s="114"/>
    </row>
    <row r="612" customFormat="false" ht="13.8" hidden="false" customHeight="false" outlineLevel="0" collapsed="false">
      <c r="A612" s="0" t="s">
        <v>2041</v>
      </c>
      <c r="B612" s="0" t="s">
        <v>114</v>
      </c>
      <c r="O612" s="114"/>
      <c r="P612" s="114"/>
    </row>
    <row r="613" customFormat="false" ht="13.8" hidden="false" customHeight="false" outlineLevel="0" collapsed="false">
      <c r="A613" s="0" t="s">
        <v>2045</v>
      </c>
      <c r="B613" s="0" t="s">
        <v>114</v>
      </c>
      <c r="O613" s="114"/>
      <c r="P613" s="114"/>
    </row>
    <row r="614" customFormat="false" ht="13.8" hidden="false" customHeight="false" outlineLevel="0" collapsed="false">
      <c r="A614" s="0" t="s">
        <v>2049</v>
      </c>
      <c r="B614" s="0" t="s">
        <v>114</v>
      </c>
      <c r="O614" s="114"/>
      <c r="P614" s="114"/>
    </row>
    <row r="615" customFormat="false" ht="13.8" hidden="false" customHeight="false" outlineLevel="0" collapsed="false">
      <c r="A615" s="0" t="s">
        <v>2065</v>
      </c>
      <c r="B615" s="0" t="s">
        <v>114</v>
      </c>
      <c r="O615" s="114"/>
      <c r="P615" s="114"/>
    </row>
    <row r="616" customFormat="false" ht="13.8" hidden="false" customHeight="false" outlineLevel="0" collapsed="false">
      <c r="A616" s="0" t="s">
        <v>2069</v>
      </c>
      <c r="B616" s="0" t="s">
        <v>114</v>
      </c>
      <c r="O616" s="114"/>
      <c r="P616" s="114"/>
    </row>
    <row r="617" customFormat="false" ht="13.8" hidden="false" customHeight="false" outlineLevel="0" collapsed="false">
      <c r="A617" s="0" t="s">
        <v>2086</v>
      </c>
      <c r="B617" s="0" t="s">
        <v>114</v>
      </c>
      <c r="O617" s="114"/>
      <c r="P617" s="114"/>
    </row>
    <row r="618" customFormat="false" ht="13.8" hidden="false" customHeight="false" outlineLevel="0" collapsed="false">
      <c r="A618" s="0" t="s">
        <v>2089</v>
      </c>
      <c r="B618" s="0" t="s">
        <v>114</v>
      </c>
      <c r="O618" s="114"/>
      <c r="P618" s="114"/>
    </row>
    <row r="619" customFormat="false" ht="13.8" hidden="false" customHeight="false" outlineLevel="0" collapsed="false">
      <c r="A619" s="0" t="s">
        <v>2095</v>
      </c>
      <c r="B619" s="0" t="s">
        <v>114</v>
      </c>
      <c r="O619" s="114"/>
      <c r="P619" s="114"/>
    </row>
    <row r="620" customFormat="false" ht="13.8" hidden="false" customHeight="false" outlineLevel="0" collapsed="false">
      <c r="A620" s="0" t="s">
        <v>2101</v>
      </c>
      <c r="B620" s="0" t="s">
        <v>114</v>
      </c>
      <c r="O620" s="114"/>
      <c r="P620" s="114"/>
    </row>
    <row r="621" customFormat="false" ht="13.8" hidden="false" customHeight="false" outlineLevel="0" collapsed="false">
      <c r="A621" s="0" t="s">
        <v>2102</v>
      </c>
      <c r="B621" s="0" t="s">
        <v>114</v>
      </c>
      <c r="O621" s="114"/>
      <c r="P621" s="114"/>
    </row>
    <row r="622" customFormat="false" ht="13.8" hidden="false" customHeight="false" outlineLevel="0" collapsed="false">
      <c r="A622" s="0" t="s">
        <v>2118</v>
      </c>
      <c r="B622" s="0" t="s">
        <v>114</v>
      </c>
      <c r="O622" s="114"/>
      <c r="P622" s="114"/>
    </row>
    <row r="623" customFormat="false" ht="13.8" hidden="false" customHeight="false" outlineLevel="0" collapsed="false">
      <c r="A623" s="0" t="s">
        <v>1871</v>
      </c>
      <c r="B623" s="0" t="s">
        <v>114</v>
      </c>
      <c r="O623" s="114"/>
      <c r="P623" s="114"/>
    </row>
    <row r="624" customFormat="false" ht="13.8" hidden="false" customHeight="false" outlineLevel="0" collapsed="false">
      <c r="A624" s="0" t="s">
        <v>2056</v>
      </c>
      <c r="B624" s="0" t="s">
        <v>114</v>
      </c>
      <c r="O624" s="114"/>
      <c r="P624" s="114"/>
    </row>
    <row r="625" customFormat="false" ht="13.8" hidden="false" customHeight="false" outlineLevel="0" collapsed="false">
      <c r="A625" s="0" t="s">
        <v>2036</v>
      </c>
      <c r="B625" s="0" t="s">
        <v>114</v>
      </c>
      <c r="O625" s="114"/>
      <c r="P625" s="114"/>
    </row>
    <row r="626" customFormat="false" ht="13.8" hidden="false" customHeight="false" outlineLevel="0" collapsed="false">
      <c r="A626" s="0" t="s">
        <v>1861</v>
      </c>
      <c r="B626" s="0" t="s">
        <v>114</v>
      </c>
      <c r="O626" s="114"/>
      <c r="P626" s="114"/>
    </row>
    <row r="627" customFormat="false" ht="13.8" hidden="false" customHeight="false" outlineLevel="0" collapsed="false">
      <c r="A627" s="0" t="s">
        <v>2074</v>
      </c>
      <c r="B627" s="0" t="s">
        <v>114</v>
      </c>
      <c r="O627" s="114"/>
      <c r="P627" s="114"/>
    </row>
    <row r="628" customFormat="false" ht="13.8" hidden="false" customHeight="false" outlineLevel="0" collapsed="false">
      <c r="A628" s="0" t="s">
        <v>1965</v>
      </c>
      <c r="B628" s="0" t="s">
        <v>114</v>
      </c>
      <c r="O628" s="114"/>
      <c r="P628" s="114"/>
    </row>
    <row r="629" customFormat="false" ht="13.8" hidden="false" customHeight="false" outlineLevel="0" collapsed="false">
      <c r="A629" s="0" t="s">
        <v>2033</v>
      </c>
      <c r="B629" s="0" t="s">
        <v>114</v>
      </c>
      <c r="O629" s="114"/>
      <c r="P629" s="114"/>
    </row>
    <row r="630" customFormat="false" ht="13.8" hidden="false" customHeight="false" outlineLevel="0" collapsed="false">
      <c r="A630" s="0" t="s">
        <v>1819</v>
      </c>
      <c r="B630" s="0" t="s">
        <v>114</v>
      </c>
      <c r="O630" s="114"/>
      <c r="P630" s="114"/>
    </row>
    <row r="631" customFormat="false" ht="13.8" hidden="false" customHeight="false" outlineLevel="0" collapsed="false">
      <c r="A631" s="0" t="s">
        <v>2012</v>
      </c>
      <c r="B631" s="0" t="s">
        <v>114</v>
      </c>
      <c r="O631" s="114"/>
      <c r="P631" s="114"/>
    </row>
    <row r="632" customFormat="false" ht="13.8" hidden="false" customHeight="false" outlineLevel="0" collapsed="false">
      <c r="A632" s="0" t="s">
        <v>2082</v>
      </c>
      <c r="B632" s="0" t="s">
        <v>114</v>
      </c>
      <c r="O632" s="114"/>
      <c r="P632" s="114"/>
    </row>
    <row r="633" customFormat="false" ht="13.8" hidden="false" customHeight="false" outlineLevel="0" collapsed="false">
      <c r="A633" s="0" t="s">
        <v>1905</v>
      </c>
      <c r="B633" s="0" t="s">
        <v>114</v>
      </c>
      <c r="O633" s="114"/>
      <c r="P633" s="114"/>
    </row>
    <row r="634" customFormat="false" ht="13.8" hidden="false" customHeight="false" outlineLevel="0" collapsed="false">
      <c r="A634" s="0" t="s">
        <v>1783</v>
      </c>
      <c r="B634" s="0" t="s">
        <v>1784</v>
      </c>
      <c r="O634" s="114"/>
      <c r="P634" s="114"/>
    </row>
    <row r="635" customFormat="false" ht="13.8" hidden="false" customHeight="false" outlineLevel="0" collapsed="false">
      <c r="A635" s="0" t="s">
        <v>1838</v>
      </c>
      <c r="B635" s="0" t="s">
        <v>1784</v>
      </c>
      <c r="O635" s="114"/>
      <c r="P635" s="114"/>
    </row>
    <row r="636" customFormat="false" ht="13.8" hidden="false" customHeight="false" outlineLevel="0" collapsed="false">
      <c r="A636" s="0" t="s">
        <v>2068</v>
      </c>
      <c r="B636" s="0" t="s">
        <v>1784</v>
      </c>
      <c r="O636" s="114"/>
      <c r="P636" s="114"/>
    </row>
    <row r="637" customFormat="false" ht="13.8" hidden="false" customHeight="false" outlineLevel="0" collapsed="false">
      <c r="A637" s="0" t="s">
        <v>1511</v>
      </c>
      <c r="B637" s="0" t="s">
        <v>394</v>
      </c>
      <c r="O637" s="114"/>
      <c r="P637" s="114"/>
    </row>
    <row r="638" customFormat="false" ht="13.8" hidden="false" customHeight="false" outlineLevel="0" collapsed="false">
      <c r="A638" s="0" t="s">
        <v>1518</v>
      </c>
      <c r="B638" s="0" t="s">
        <v>394</v>
      </c>
      <c r="O638" s="114"/>
      <c r="P638" s="114"/>
    </row>
    <row r="639" customFormat="false" ht="13.8" hidden="false" customHeight="false" outlineLevel="0" collapsed="false">
      <c r="A639" s="0" t="s">
        <v>1535</v>
      </c>
      <c r="B639" s="0" t="s">
        <v>394</v>
      </c>
      <c r="O639" s="114"/>
      <c r="P639" s="114"/>
    </row>
    <row r="640" customFormat="false" ht="13.8" hidden="false" customHeight="false" outlineLevel="0" collapsed="false">
      <c r="A640" s="0" t="s">
        <v>1538</v>
      </c>
      <c r="B640" s="0" t="s">
        <v>394</v>
      </c>
      <c r="O640" s="114"/>
      <c r="P640" s="114"/>
    </row>
    <row r="641" customFormat="false" ht="13.8" hidden="false" customHeight="false" outlineLevel="0" collapsed="false">
      <c r="A641" s="0" t="s">
        <v>1543</v>
      </c>
      <c r="B641" s="0" t="s">
        <v>394</v>
      </c>
      <c r="O641" s="114"/>
      <c r="P641" s="114"/>
    </row>
    <row r="642" customFormat="false" ht="13.8" hidden="false" customHeight="false" outlineLevel="0" collapsed="false">
      <c r="A642" s="0" t="s">
        <v>1550</v>
      </c>
      <c r="B642" s="0" t="s">
        <v>394</v>
      </c>
      <c r="O642" s="114"/>
      <c r="P642" s="114"/>
    </row>
    <row r="643" customFormat="false" ht="13.8" hidden="false" customHeight="false" outlineLevel="0" collapsed="false">
      <c r="A643" s="0" t="s">
        <v>1567</v>
      </c>
      <c r="B643" s="0" t="s">
        <v>394</v>
      </c>
      <c r="O643" s="114"/>
      <c r="P643" s="114"/>
    </row>
    <row r="644" customFormat="false" ht="13.8" hidden="false" customHeight="false" outlineLevel="0" collapsed="false">
      <c r="A644" s="0" t="s">
        <v>1575</v>
      </c>
      <c r="B644" s="0" t="s">
        <v>394</v>
      </c>
      <c r="O644" s="114"/>
      <c r="P644" s="114"/>
    </row>
    <row r="645" customFormat="false" ht="13.8" hidden="false" customHeight="false" outlineLevel="0" collapsed="false">
      <c r="A645" s="0" t="s">
        <v>1587</v>
      </c>
      <c r="B645" s="0" t="s">
        <v>394</v>
      </c>
      <c r="O645" s="114"/>
      <c r="P645" s="114"/>
    </row>
    <row r="646" customFormat="false" ht="13.8" hidden="false" customHeight="false" outlineLevel="0" collapsed="false">
      <c r="A646" s="0" t="s">
        <v>1592</v>
      </c>
      <c r="B646" s="0" t="s">
        <v>394</v>
      </c>
      <c r="O646" s="114"/>
      <c r="P646" s="114"/>
    </row>
    <row r="647" customFormat="false" ht="13.8" hidden="false" customHeight="false" outlineLevel="0" collapsed="false">
      <c r="A647" s="0" t="s">
        <v>1597</v>
      </c>
      <c r="B647" s="0" t="s">
        <v>394</v>
      </c>
      <c r="O647" s="114"/>
      <c r="P647" s="114"/>
    </row>
    <row r="648" customFormat="false" ht="13.8" hidden="false" customHeight="false" outlineLevel="0" collapsed="false">
      <c r="A648" s="0" t="s">
        <v>1600</v>
      </c>
      <c r="B648" s="0" t="s">
        <v>394</v>
      </c>
      <c r="O648" s="114"/>
      <c r="P648" s="114"/>
    </row>
    <row r="649" customFormat="false" ht="13.8" hidden="false" customHeight="false" outlineLevel="0" collapsed="false">
      <c r="A649" s="0" t="s">
        <v>1611</v>
      </c>
      <c r="B649" s="0" t="s">
        <v>394</v>
      </c>
      <c r="O649" s="114"/>
      <c r="P649" s="114"/>
    </row>
    <row r="650" customFormat="false" ht="13.8" hidden="false" customHeight="false" outlineLevel="0" collapsed="false">
      <c r="A650" s="0" t="s">
        <v>1616</v>
      </c>
      <c r="B650" s="0" t="s">
        <v>394</v>
      </c>
      <c r="O650" s="114"/>
      <c r="P650" s="114"/>
    </row>
    <row r="651" customFormat="false" ht="13.8" hidden="false" customHeight="false" outlineLevel="0" collapsed="false">
      <c r="A651" s="0" t="s">
        <v>1621</v>
      </c>
      <c r="B651" s="0" t="s">
        <v>394</v>
      </c>
      <c r="O651" s="114"/>
      <c r="P651" s="114"/>
    </row>
    <row r="652" customFormat="false" ht="13.8" hidden="false" customHeight="false" outlineLevel="0" collapsed="false">
      <c r="A652" s="0" t="s">
        <v>1623</v>
      </c>
      <c r="B652" s="0" t="s">
        <v>394</v>
      </c>
      <c r="O652" s="114"/>
      <c r="P652" s="114"/>
    </row>
    <row r="653" customFormat="false" ht="13.8" hidden="false" customHeight="false" outlineLevel="0" collapsed="false">
      <c r="A653" s="0" t="s">
        <v>1626</v>
      </c>
      <c r="B653" s="0" t="s">
        <v>394</v>
      </c>
      <c r="O653" s="114"/>
      <c r="P653" s="114"/>
    </row>
    <row r="654" customFormat="false" ht="13.8" hidden="false" customHeight="false" outlineLevel="0" collapsed="false">
      <c r="A654" s="0" t="s">
        <v>1627</v>
      </c>
      <c r="B654" s="0" t="s">
        <v>394</v>
      </c>
      <c r="O654" s="114"/>
      <c r="P654" s="114"/>
    </row>
    <row r="655" customFormat="false" ht="13.8" hidden="false" customHeight="false" outlineLevel="0" collapsed="false">
      <c r="A655" s="0" t="s">
        <v>1632</v>
      </c>
      <c r="B655" s="0" t="s">
        <v>394</v>
      </c>
      <c r="O655" s="114"/>
      <c r="P655" s="114"/>
    </row>
    <row r="656" customFormat="false" ht="13.8" hidden="false" customHeight="false" outlineLevel="0" collapsed="false">
      <c r="A656" s="0" t="s">
        <v>1640</v>
      </c>
      <c r="B656" s="0" t="s">
        <v>394</v>
      </c>
      <c r="O656" s="114"/>
      <c r="P656" s="114"/>
    </row>
    <row r="657" customFormat="false" ht="13.8" hidden="false" customHeight="false" outlineLevel="0" collapsed="false">
      <c r="A657" s="0" t="s">
        <v>1646</v>
      </c>
      <c r="B657" s="0" t="s">
        <v>394</v>
      </c>
      <c r="O657" s="114"/>
      <c r="P657" s="114"/>
    </row>
    <row r="658" customFormat="false" ht="13.8" hidden="false" customHeight="false" outlineLevel="0" collapsed="false">
      <c r="A658" s="0" t="s">
        <v>1647</v>
      </c>
      <c r="B658" s="0" t="s">
        <v>394</v>
      </c>
      <c r="O658" s="114"/>
      <c r="P658" s="114"/>
    </row>
    <row r="659" customFormat="false" ht="13.8" hidden="false" customHeight="false" outlineLevel="0" collapsed="false">
      <c r="A659" s="0" t="s">
        <v>1648</v>
      </c>
      <c r="B659" s="0" t="s">
        <v>394</v>
      </c>
      <c r="O659" s="114"/>
      <c r="P659" s="114"/>
    </row>
    <row r="660" customFormat="false" ht="13.8" hidden="false" customHeight="false" outlineLevel="0" collapsed="false">
      <c r="A660" s="0" t="s">
        <v>1651</v>
      </c>
      <c r="B660" s="0" t="s">
        <v>394</v>
      </c>
      <c r="O660" s="114"/>
      <c r="P660" s="114"/>
    </row>
    <row r="661" customFormat="false" ht="13.8" hidden="false" customHeight="false" outlineLevel="0" collapsed="false">
      <c r="A661" s="0" t="s">
        <v>1661</v>
      </c>
      <c r="B661" s="0" t="s">
        <v>394</v>
      </c>
      <c r="O661" s="114"/>
      <c r="P661" s="114"/>
    </row>
    <row r="662" customFormat="false" ht="13.8" hidden="false" customHeight="false" outlineLevel="0" collapsed="false">
      <c r="A662" s="0" t="s">
        <v>1666</v>
      </c>
      <c r="B662" s="0" t="s">
        <v>394</v>
      </c>
      <c r="O662" s="114"/>
      <c r="P662" s="114"/>
    </row>
    <row r="663" customFormat="false" ht="13.8" hidden="false" customHeight="false" outlineLevel="0" collapsed="false">
      <c r="A663" s="0" t="s">
        <v>1669</v>
      </c>
      <c r="B663" s="0" t="s">
        <v>394</v>
      </c>
      <c r="O663" s="114"/>
      <c r="P663" s="114"/>
    </row>
    <row r="664" customFormat="false" ht="13.8" hidden="false" customHeight="false" outlineLevel="0" collapsed="false">
      <c r="A664" s="0" t="s">
        <v>1672</v>
      </c>
      <c r="B664" s="0" t="s">
        <v>394</v>
      </c>
      <c r="O664" s="114"/>
      <c r="P664" s="114"/>
    </row>
    <row r="665" customFormat="false" ht="13.8" hidden="false" customHeight="false" outlineLevel="0" collapsed="false">
      <c r="A665" s="0" t="s">
        <v>1675</v>
      </c>
      <c r="B665" s="0" t="s">
        <v>394</v>
      </c>
      <c r="O665" s="114"/>
      <c r="P665" s="114"/>
    </row>
    <row r="666" customFormat="false" ht="13.8" hidden="false" customHeight="false" outlineLevel="0" collapsed="false">
      <c r="A666" s="0" t="s">
        <v>1681</v>
      </c>
      <c r="B666" s="0" t="s">
        <v>394</v>
      </c>
      <c r="O666" s="114"/>
      <c r="P666" s="114"/>
    </row>
    <row r="667" customFormat="false" ht="13.8" hidden="false" customHeight="false" outlineLevel="0" collapsed="false">
      <c r="A667" s="0" t="s">
        <v>1685</v>
      </c>
      <c r="B667" s="0" t="s">
        <v>394</v>
      </c>
      <c r="O667" s="114"/>
      <c r="P667" s="114"/>
    </row>
    <row r="668" customFormat="false" ht="13.8" hidden="false" customHeight="false" outlineLevel="0" collapsed="false">
      <c r="A668" s="0" t="s">
        <v>1688</v>
      </c>
      <c r="B668" s="0" t="s">
        <v>394</v>
      </c>
      <c r="O668" s="114"/>
      <c r="P668" s="114"/>
    </row>
    <row r="669" customFormat="false" ht="13.8" hidden="false" customHeight="false" outlineLevel="0" collapsed="false">
      <c r="A669" s="0" t="s">
        <v>1696</v>
      </c>
      <c r="B669" s="0" t="s">
        <v>394</v>
      </c>
      <c r="O669" s="114"/>
      <c r="P669" s="114"/>
    </row>
    <row r="670" customFormat="false" ht="13.8" hidden="false" customHeight="false" outlineLevel="0" collapsed="false">
      <c r="A670" s="0" t="s">
        <v>1699</v>
      </c>
      <c r="B670" s="0" t="s">
        <v>394</v>
      </c>
      <c r="O670" s="114"/>
      <c r="P670" s="114"/>
    </row>
    <row r="671" customFormat="false" ht="13.8" hidden="false" customHeight="false" outlineLevel="0" collapsed="false">
      <c r="A671" s="0" t="s">
        <v>1703</v>
      </c>
      <c r="B671" s="0" t="s">
        <v>394</v>
      </c>
      <c r="O671" s="114"/>
      <c r="P671" s="114"/>
    </row>
    <row r="672" customFormat="false" ht="13.8" hidden="false" customHeight="false" outlineLevel="0" collapsed="false">
      <c r="A672" s="0" t="s">
        <v>1706</v>
      </c>
      <c r="B672" s="0" t="s">
        <v>394</v>
      </c>
      <c r="O672" s="114"/>
      <c r="P672" s="114"/>
    </row>
    <row r="673" customFormat="false" ht="13.8" hidden="false" customHeight="false" outlineLevel="0" collapsed="false">
      <c r="A673" s="0" t="s">
        <v>1710</v>
      </c>
      <c r="B673" s="0" t="s">
        <v>394</v>
      </c>
      <c r="O673" s="114"/>
      <c r="P673" s="114"/>
    </row>
    <row r="674" customFormat="false" ht="13.8" hidden="false" customHeight="false" outlineLevel="0" collapsed="false">
      <c r="A674" s="0" t="s">
        <v>1714</v>
      </c>
      <c r="B674" s="0" t="s">
        <v>394</v>
      </c>
      <c r="O674" s="114"/>
      <c r="P674" s="114"/>
    </row>
    <row r="675" customFormat="false" ht="13.8" hidden="false" customHeight="false" outlineLevel="0" collapsed="false">
      <c r="A675" s="0" t="s">
        <v>1715</v>
      </c>
      <c r="B675" s="0" t="s">
        <v>394</v>
      </c>
      <c r="O675" s="114"/>
      <c r="P675" s="114"/>
    </row>
    <row r="676" customFormat="false" ht="13.8" hidden="false" customHeight="false" outlineLevel="0" collapsed="false">
      <c r="A676" s="0" t="s">
        <v>1722</v>
      </c>
      <c r="B676" s="0" t="s">
        <v>394</v>
      </c>
      <c r="O676" s="114"/>
      <c r="P676" s="114"/>
    </row>
    <row r="677" customFormat="false" ht="13.8" hidden="false" customHeight="false" outlineLevel="0" collapsed="false">
      <c r="A677" s="0" t="s">
        <v>1724</v>
      </c>
      <c r="B677" s="0" t="s">
        <v>394</v>
      </c>
      <c r="O677" s="114"/>
      <c r="P677" s="114"/>
    </row>
    <row r="678" customFormat="false" ht="13.8" hidden="false" customHeight="false" outlineLevel="0" collapsed="false">
      <c r="A678" s="0" t="s">
        <v>395</v>
      </c>
      <c r="B678" s="0" t="s">
        <v>394</v>
      </c>
      <c r="O678" s="114"/>
      <c r="P678" s="114"/>
    </row>
    <row r="679" customFormat="false" ht="13.8" hidden="false" customHeight="false" outlineLevel="0" collapsed="false">
      <c r="A679" s="0" t="s">
        <v>1739</v>
      </c>
      <c r="B679" s="0" t="s">
        <v>394</v>
      </c>
      <c r="O679" s="114"/>
      <c r="P679" s="114"/>
    </row>
    <row r="680" customFormat="false" ht="13.8" hidden="false" customHeight="false" outlineLevel="0" collapsed="false">
      <c r="A680" s="0" t="s">
        <v>1741</v>
      </c>
      <c r="B680" s="0" t="s">
        <v>394</v>
      </c>
      <c r="O680" s="114"/>
      <c r="P680" s="114"/>
    </row>
    <row r="681" customFormat="false" ht="13.8" hidden="false" customHeight="false" outlineLevel="0" collapsed="false">
      <c r="A681" s="0" t="s">
        <v>1745</v>
      </c>
      <c r="B681" s="0" t="s">
        <v>394</v>
      </c>
      <c r="O681" s="114"/>
      <c r="P681" s="114"/>
    </row>
    <row r="682" customFormat="false" ht="13.8" hidden="false" customHeight="false" outlineLevel="0" collapsed="false">
      <c r="A682" s="0" t="s">
        <v>1746</v>
      </c>
      <c r="B682" s="0" t="s">
        <v>394</v>
      </c>
      <c r="O682" s="114"/>
      <c r="P682" s="114"/>
    </row>
    <row r="683" customFormat="false" ht="13.8" hidden="false" customHeight="false" outlineLevel="0" collapsed="false">
      <c r="A683" s="0" t="s">
        <v>1747</v>
      </c>
      <c r="B683" s="0" t="s">
        <v>394</v>
      </c>
      <c r="O683" s="114"/>
      <c r="P683" s="114"/>
    </row>
    <row r="684" customFormat="false" ht="13.8" hidden="false" customHeight="false" outlineLevel="0" collapsed="false">
      <c r="A684" s="0" t="s">
        <v>1748</v>
      </c>
      <c r="B684" s="0" t="s">
        <v>394</v>
      </c>
      <c r="O684" s="114"/>
      <c r="P684" s="114"/>
    </row>
    <row r="685" customFormat="false" ht="13.8" hidden="false" customHeight="false" outlineLevel="0" collapsed="false">
      <c r="A685" s="0" t="s">
        <v>1755</v>
      </c>
      <c r="B685" s="0" t="s">
        <v>394</v>
      </c>
      <c r="O685" s="114"/>
      <c r="P685" s="114"/>
    </row>
    <row r="686" customFormat="false" ht="13.8" hidden="false" customHeight="false" outlineLevel="0" collapsed="false">
      <c r="A686" s="0" t="s">
        <v>1756</v>
      </c>
      <c r="B686" s="0" t="s">
        <v>394</v>
      </c>
      <c r="O686" s="114"/>
      <c r="P686" s="114"/>
    </row>
    <row r="687" customFormat="false" ht="13.8" hidden="false" customHeight="false" outlineLevel="0" collapsed="false">
      <c r="A687" s="0" t="s">
        <v>1759</v>
      </c>
      <c r="B687" s="0" t="s">
        <v>394</v>
      </c>
      <c r="O687" s="114"/>
      <c r="P687" s="114"/>
    </row>
    <row r="688" customFormat="false" ht="13.8" hidden="false" customHeight="false" outlineLevel="0" collapsed="false">
      <c r="A688" s="0" t="s">
        <v>1760</v>
      </c>
      <c r="B688" s="0" t="s">
        <v>394</v>
      </c>
      <c r="O688" s="114"/>
      <c r="P688" s="114"/>
    </row>
    <row r="689" customFormat="false" ht="13.8" hidden="false" customHeight="false" outlineLevel="0" collapsed="false">
      <c r="A689" s="0" t="s">
        <v>1763</v>
      </c>
      <c r="B689" s="0" t="s">
        <v>394</v>
      </c>
      <c r="O689" s="114"/>
      <c r="P689" s="114"/>
    </row>
    <row r="690" customFormat="false" ht="13.8" hidden="false" customHeight="false" outlineLevel="0" collapsed="false">
      <c r="A690" s="0" t="s">
        <v>1766</v>
      </c>
      <c r="B690" s="0" t="s">
        <v>394</v>
      </c>
      <c r="O690" s="114"/>
      <c r="P690" s="114"/>
    </row>
    <row r="691" customFormat="false" ht="13.8" hidden="false" customHeight="false" outlineLevel="0" collapsed="false">
      <c r="A691" s="0" t="s">
        <v>1769</v>
      </c>
      <c r="B691" s="0" t="s">
        <v>394</v>
      </c>
      <c r="O691" s="114"/>
      <c r="P691" s="114"/>
    </row>
    <row r="692" customFormat="false" ht="13.8" hidden="false" customHeight="false" outlineLevel="0" collapsed="false">
      <c r="A692" s="0" t="s">
        <v>1525</v>
      </c>
      <c r="B692" s="0" t="s">
        <v>394</v>
      </c>
      <c r="O692" s="114"/>
      <c r="P692" s="114"/>
    </row>
    <row r="693" customFormat="false" ht="13.8" hidden="false" customHeight="false" outlineLevel="0" collapsed="false">
      <c r="A693" s="0" t="s">
        <v>1690</v>
      </c>
      <c r="B693" s="0" t="s">
        <v>394</v>
      </c>
      <c r="O693" s="114"/>
      <c r="P693" s="114"/>
    </row>
    <row r="694" customFormat="false" ht="13.8" hidden="false" customHeight="false" outlineLevel="0" collapsed="false">
      <c r="A694" s="0" t="s">
        <v>1583</v>
      </c>
      <c r="B694" s="0" t="s">
        <v>394</v>
      </c>
      <c r="O694" s="114"/>
      <c r="P694" s="114"/>
    </row>
    <row r="695" customFormat="false" ht="13.8" hidden="false" customHeight="false" outlineLevel="0" collapsed="false">
      <c r="A695" s="0" t="s">
        <v>1533</v>
      </c>
      <c r="B695" s="0" t="s">
        <v>394</v>
      </c>
      <c r="O695" s="114"/>
      <c r="P695" s="114"/>
    </row>
    <row r="696" customFormat="false" ht="13.8" hidden="false" customHeight="false" outlineLevel="0" collapsed="false">
      <c r="A696" s="0" t="s">
        <v>1605</v>
      </c>
      <c r="B696" s="0" t="s">
        <v>394</v>
      </c>
      <c r="O696" s="114"/>
      <c r="P696" s="114"/>
    </row>
    <row r="697" customFormat="false" ht="13.8" hidden="false" customHeight="false" outlineLevel="0" collapsed="false">
      <c r="A697" s="0" t="s">
        <v>1584</v>
      </c>
      <c r="B697" s="0" t="s">
        <v>394</v>
      </c>
      <c r="O697" s="114"/>
      <c r="P697" s="114"/>
    </row>
    <row r="698" customFormat="false" ht="13.8" hidden="false" customHeight="false" outlineLevel="0" collapsed="false">
      <c r="A698" s="0" t="s">
        <v>1556</v>
      </c>
      <c r="B698" s="0" t="s">
        <v>1557</v>
      </c>
      <c r="O698" s="114"/>
      <c r="P698" s="114"/>
    </row>
    <row r="699" customFormat="false" ht="13.8" hidden="false" customHeight="false" outlineLevel="0" collapsed="false">
      <c r="A699" s="0" t="s">
        <v>1122</v>
      </c>
      <c r="B699" s="0" t="s">
        <v>121</v>
      </c>
      <c r="O699" s="114"/>
      <c r="P699" s="114"/>
    </row>
    <row r="700" customFormat="false" ht="13.8" hidden="false" customHeight="false" outlineLevel="0" collapsed="false">
      <c r="A700" s="0" t="s">
        <v>1126</v>
      </c>
      <c r="B700" s="0" t="s">
        <v>121</v>
      </c>
      <c r="O700" s="114"/>
      <c r="P700" s="114"/>
    </row>
    <row r="701" customFormat="false" ht="13.8" hidden="false" customHeight="false" outlineLevel="0" collapsed="false">
      <c r="A701" s="0" t="s">
        <v>1127</v>
      </c>
      <c r="B701" s="0" t="s">
        <v>121</v>
      </c>
      <c r="O701" s="114"/>
      <c r="P701" s="114"/>
    </row>
    <row r="702" customFormat="false" ht="13.8" hidden="false" customHeight="false" outlineLevel="0" collapsed="false">
      <c r="A702" s="0" t="s">
        <v>1130</v>
      </c>
      <c r="B702" s="0" t="s">
        <v>121</v>
      </c>
      <c r="O702" s="114"/>
      <c r="P702" s="114"/>
    </row>
    <row r="703" customFormat="false" ht="13.8" hidden="false" customHeight="false" outlineLevel="0" collapsed="false">
      <c r="A703" s="0" t="s">
        <v>1133</v>
      </c>
      <c r="B703" s="0" t="s">
        <v>121</v>
      </c>
      <c r="O703" s="114"/>
      <c r="P703" s="114"/>
    </row>
    <row r="704" customFormat="false" ht="13.8" hidden="false" customHeight="false" outlineLevel="0" collapsed="false">
      <c r="A704" s="0" t="s">
        <v>1137</v>
      </c>
      <c r="B704" s="0" t="s">
        <v>121</v>
      </c>
      <c r="O704" s="114"/>
      <c r="P704" s="114"/>
    </row>
    <row r="705" customFormat="false" ht="13.8" hidden="false" customHeight="false" outlineLevel="0" collapsed="false">
      <c r="A705" s="0" t="s">
        <v>1138</v>
      </c>
      <c r="B705" s="0" t="s">
        <v>121</v>
      </c>
      <c r="O705" s="114"/>
      <c r="P705" s="114"/>
    </row>
    <row r="706" customFormat="false" ht="13.8" hidden="false" customHeight="false" outlineLevel="0" collapsed="false">
      <c r="A706" s="0" t="s">
        <v>1139</v>
      </c>
      <c r="B706" s="0" t="s">
        <v>121</v>
      </c>
      <c r="O706" s="114"/>
      <c r="P706" s="114"/>
    </row>
    <row r="707" customFormat="false" ht="13.8" hidden="false" customHeight="false" outlineLevel="0" collapsed="false">
      <c r="A707" s="0" t="s">
        <v>1143</v>
      </c>
      <c r="B707" s="0" t="s">
        <v>121</v>
      </c>
      <c r="O707" s="114"/>
      <c r="P707" s="114"/>
    </row>
    <row r="708" customFormat="false" ht="13.8" hidden="false" customHeight="false" outlineLevel="0" collapsed="false">
      <c r="A708" s="0" t="s">
        <v>1148</v>
      </c>
      <c r="B708" s="0" t="s">
        <v>121</v>
      </c>
      <c r="O708" s="114"/>
      <c r="P708" s="114"/>
    </row>
    <row r="709" customFormat="false" ht="13.8" hidden="false" customHeight="false" outlineLevel="0" collapsed="false">
      <c r="A709" s="0" t="s">
        <v>1154</v>
      </c>
      <c r="B709" s="0" t="s">
        <v>121</v>
      </c>
      <c r="O709" s="114"/>
      <c r="P709" s="114"/>
    </row>
    <row r="710" customFormat="false" ht="13.8" hidden="false" customHeight="false" outlineLevel="0" collapsed="false">
      <c r="A710" s="0" t="s">
        <v>1160</v>
      </c>
      <c r="B710" s="0" t="s">
        <v>121</v>
      </c>
      <c r="O710" s="114"/>
      <c r="P710" s="114"/>
    </row>
    <row r="711" customFormat="false" ht="13.8" hidden="false" customHeight="false" outlineLevel="0" collapsed="false">
      <c r="A711" s="0" t="s">
        <v>1167</v>
      </c>
      <c r="B711" s="0" t="s">
        <v>121</v>
      </c>
      <c r="O711" s="114"/>
      <c r="P711" s="114"/>
    </row>
    <row r="712" customFormat="false" ht="13.8" hidden="false" customHeight="false" outlineLevel="0" collapsed="false">
      <c r="A712" s="0" t="s">
        <v>1181</v>
      </c>
      <c r="B712" s="0" t="s">
        <v>121</v>
      </c>
      <c r="O712" s="114"/>
      <c r="P712" s="114"/>
    </row>
    <row r="713" customFormat="false" ht="13.8" hidden="false" customHeight="false" outlineLevel="0" collapsed="false">
      <c r="A713" s="0" t="s">
        <v>1187</v>
      </c>
      <c r="B713" s="0" t="s">
        <v>121</v>
      </c>
      <c r="O713" s="114"/>
      <c r="P713" s="114"/>
    </row>
    <row r="714" customFormat="false" ht="13.8" hidden="false" customHeight="false" outlineLevel="0" collapsed="false">
      <c r="A714" s="0" t="s">
        <v>1192</v>
      </c>
      <c r="B714" s="0" t="s">
        <v>121</v>
      </c>
      <c r="O714" s="114"/>
      <c r="P714" s="114"/>
    </row>
    <row r="715" customFormat="false" ht="13.8" hidden="false" customHeight="false" outlineLevel="0" collapsed="false">
      <c r="A715" s="0" t="s">
        <v>1200</v>
      </c>
      <c r="B715" s="0" t="s">
        <v>121</v>
      </c>
      <c r="O715" s="114"/>
      <c r="P715" s="114"/>
    </row>
    <row r="716" customFormat="false" ht="13.8" hidden="false" customHeight="false" outlineLevel="0" collapsed="false">
      <c r="A716" s="0" t="s">
        <v>1212</v>
      </c>
      <c r="B716" s="0" t="s">
        <v>121</v>
      </c>
      <c r="O716" s="114"/>
      <c r="P716" s="114"/>
    </row>
    <row r="717" customFormat="false" ht="13.8" hidden="false" customHeight="false" outlineLevel="0" collapsed="false">
      <c r="A717" s="0" t="s">
        <v>1214</v>
      </c>
      <c r="B717" s="0" t="s">
        <v>121</v>
      </c>
      <c r="O717" s="114"/>
      <c r="P717" s="114"/>
    </row>
    <row r="718" customFormat="false" ht="13.8" hidden="false" customHeight="false" outlineLevel="0" collapsed="false">
      <c r="A718" s="0" t="s">
        <v>1218</v>
      </c>
      <c r="B718" s="0" t="s">
        <v>121</v>
      </c>
      <c r="O718" s="114"/>
      <c r="P718" s="114"/>
    </row>
    <row r="719" customFormat="false" ht="13.8" hidden="false" customHeight="false" outlineLevel="0" collapsed="false">
      <c r="A719" s="0" t="s">
        <v>1221</v>
      </c>
      <c r="B719" s="0" t="s">
        <v>121</v>
      </c>
      <c r="O719" s="114"/>
      <c r="P719" s="114"/>
    </row>
    <row r="720" customFormat="false" ht="13.8" hidden="false" customHeight="false" outlineLevel="0" collapsed="false">
      <c r="A720" s="0" t="s">
        <v>1223</v>
      </c>
      <c r="B720" s="0" t="s">
        <v>121</v>
      </c>
      <c r="O720" s="114"/>
      <c r="P720" s="114"/>
    </row>
    <row r="721" customFormat="false" ht="13.8" hidden="false" customHeight="false" outlineLevel="0" collapsed="false">
      <c r="A721" s="0" t="s">
        <v>1225</v>
      </c>
      <c r="B721" s="0" t="s">
        <v>121</v>
      </c>
      <c r="O721" s="114"/>
      <c r="P721" s="114"/>
    </row>
    <row r="722" customFormat="false" ht="13.8" hidden="false" customHeight="false" outlineLevel="0" collapsed="false">
      <c r="A722" s="0" t="s">
        <v>1226</v>
      </c>
      <c r="B722" s="0" t="s">
        <v>121</v>
      </c>
      <c r="O722" s="114"/>
      <c r="P722" s="114"/>
    </row>
    <row r="723" customFormat="false" ht="13.8" hidden="false" customHeight="false" outlineLevel="0" collapsed="false">
      <c r="A723" s="0" t="s">
        <v>1236</v>
      </c>
      <c r="B723" s="0" t="s">
        <v>121</v>
      </c>
      <c r="O723" s="114"/>
      <c r="P723" s="114"/>
    </row>
    <row r="724" customFormat="false" ht="13.8" hidden="false" customHeight="false" outlineLevel="0" collapsed="false">
      <c r="A724" s="0" t="s">
        <v>1239</v>
      </c>
      <c r="B724" s="0" t="s">
        <v>121</v>
      </c>
      <c r="O724" s="114"/>
      <c r="P724" s="114"/>
    </row>
    <row r="725" customFormat="false" ht="13.8" hidden="false" customHeight="false" outlineLevel="0" collapsed="false">
      <c r="A725" s="0" t="s">
        <v>1246</v>
      </c>
      <c r="B725" s="0" t="s">
        <v>121</v>
      </c>
      <c r="O725" s="114"/>
      <c r="P725" s="114"/>
    </row>
    <row r="726" customFormat="false" ht="13.8" hidden="false" customHeight="false" outlineLevel="0" collapsed="false">
      <c r="A726" s="0" t="s">
        <v>1251</v>
      </c>
      <c r="B726" s="0" t="s">
        <v>121</v>
      </c>
      <c r="O726" s="114"/>
      <c r="P726" s="114"/>
    </row>
    <row r="727" customFormat="false" ht="13.8" hidden="false" customHeight="false" outlineLevel="0" collapsed="false">
      <c r="A727" s="0" t="s">
        <v>1256</v>
      </c>
      <c r="B727" s="0" t="s">
        <v>121</v>
      </c>
      <c r="O727" s="114"/>
      <c r="P727" s="114"/>
    </row>
    <row r="728" customFormat="false" ht="13.8" hidden="false" customHeight="false" outlineLevel="0" collapsed="false">
      <c r="A728" s="0" t="s">
        <v>1367</v>
      </c>
      <c r="B728" s="0" t="s">
        <v>121</v>
      </c>
      <c r="O728" s="114"/>
      <c r="P728" s="114"/>
    </row>
    <row r="729" customFormat="false" ht="13.8" hidden="false" customHeight="false" outlineLevel="0" collapsed="false">
      <c r="A729" s="0" t="s">
        <v>1269</v>
      </c>
      <c r="B729" s="0" t="s">
        <v>121</v>
      </c>
      <c r="O729" s="114"/>
      <c r="P729" s="114"/>
    </row>
    <row r="730" customFormat="false" ht="13.8" hidden="false" customHeight="false" outlineLevel="0" collapsed="false">
      <c r="A730" s="0" t="s">
        <v>1371</v>
      </c>
      <c r="B730" s="0" t="s">
        <v>121</v>
      </c>
      <c r="O730" s="114"/>
      <c r="P730" s="114"/>
    </row>
    <row r="731" customFormat="false" ht="13.8" hidden="false" customHeight="false" outlineLevel="0" collapsed="false">
      <c r="A731" s="0" t="s">
        <v>1280</v>
      </c>
      <c r="B731" s="0" t="s">
        <v>121</v>
      </c>
      <c r="O731" s="114"/>
      <c r="P731" s="114"/>
    </row>
    <row r="732" customFormat="false" ht="13.8" hidden="false" customHeight="false" outlineLevel="0" collapsed="false">
      <c r="A732" s="0" t="s">
        <v>1282</v>
      </c>
      <c r="B732" s="0" t="s">
        <v>121</v>
      </c>
      <c r="O732" s="114"/>
      <c r="P732" s="114"/>
    </row>
    <row r="733" customFormat="false" ht="13.8" hidden="false" customHeight="false" outlineLevel="0" collapsed="false">
      <c r="A733" s="0" t="s">
        <v>1285</v>
      </c>
      <c r="B733" s="0" t="s">
        <v>121</v>
      </c>
      <c r="O733" s="114"/>
      <c r="P733" s="114"/>
    </row>
    <row r="734" customFormat="false" ht="13.8" hidden="false" customHeight="false" outlineLevel="0" collapsed="false">
      <c r="A734" s="0" t="s">
        <v>1292</v>
      </c>
      <c r="B734" s="0" t="s">
        <v>121</v>
      </c>
      <c r="O734" s="114"/>
      <c r="P734" s="114"/>
    </row>
    <row r="735" customFormat="false" ht="13.8" hidden="false" customHeight="false" outlineLevel="0" collapsed="false">
      <c r="A735" s="0" t="s">
        <v>1297</v>
      </c>
      <c r="B735" s="0" t="s">
        <v>121</v>
      </c>
      <c r="O735" s="114"/>
      <c r="P735" s="114"/>
    </row>
    <row r="736" customFormat="false" ht="13.8" hidden="false" customHeight="false" outlineLevel="0" collapsed="false">
      <c r="A736" s="0" t="s">
        <v>1300</v>
      </c>
      <c r="B736" s="0" t="s">
        <v>121</v>
      </c>
      <c r="O736" s="114"/>
      <c r="P736" s="114"/>
    </row>
    <row r="737" customFormat="false" ht="13.8" hidden="false" customHeight="false" outlineLevel="0" collapsed="false">
      <c r="A737" s="0" t="s">
        <v>1303</v>
      </c>
      <c r="B737" s="0" t="s">
        <v>121</v>
      </c>
      <c r="O737" s="114"/>
      <c r="P737" s="114"/>
    </row>
    <row r="738" customFormat="false" ht="13.8" hidden="false" customHeight="false" outlineLevel="0" collapsed="false">
      <c r="A738" s="0" t="s">
        <v>1307</v>
      </c>
      <c r="B738" s="0" t="s">
        <v>121</v>
      </c>
      <c r="O738" s="114"/>
      <c r="P738" s="114"/>
    </row>
    <row r="739" customFormat="false" ht="13.8" hidden="false" customHeight="false" outlineLevel="0" collapsed="false">
      <c r="A739" s="0" t="s">
        <v>1316</v>
      </c>
      <c r="B739" s="0" t="s">
        <v>121</v>
      </c>
      <c r="O739" s="114"/>
      <c r="P739" s="114"/>
    </row>
    <row r="740" customFormat="false" ht="13.8" hidden="false" customHeight="false" outlineLevel="0" collapsed="false">
      <c r="A740" s="0" t="s">
        <v>1318</v>
      </c>
      <c r="B740" s="0" t="s">
        <v>121</v>
      </c>
      <c r="O740" s="114"/>
      <c r="P740" s="114"/>
    </row>
    <row r="741" customFormat="false" ht="13.8" hidden="false" customHeight="false" outlineLevel="0" collapsed="false">
      <c r="A741" s="0" t="s">
        <v>1321</v>
      </c>
      <c r="B741" s="0" t="s">
        <v>121</v>
      </c>
      <c r="O741" s="114"/>
      <c r="P741" s="114"/>
    </row>
    <row r="742" customFormat="false" ht="13.8" hidden="false" customHeight="false" outlineLevel="0" collapsed="false">
      <c r="A742" s="0" t="s">
        <v>1326</v>
      </c>
      <c r="B742" s="0" t="s">
        <v>121</v>
      </c>
      <c r="O742" s="114"/>
      <c r="P742" s="114"/>
    </row>
    <row r="743" customFormat="false" ht="13.8" hidden="false" customHeight="false" outlineLevel="0" collapsed="false">
      <c r="A743" s="0" t="s">
        <v>1329</v>
      </c>
      <c r="B743" s="0" t="s">
        <v>121</v>
      </c>
      <c r="O743" s="114"/>
      <c r="P743" s="114"/>
    </row>
    <row r="744" customFormat="false" ht="13.8" hidden="false" customHeight="false" outlineLevel="0" collapsed="false">
      <c r="A744" s="0" t="s">
        <v>1330</v>
      </c>
      <c r="B744" s="0" t="s">
        <v>121</v>
      </c>
      <c r="O744" s="114"/>
      <c r="P744" s="114"/>
    </row>
    <row r="745" customFormat="false" ht="13.8" hidden="false" customHeight="false" outlineLevel="0" collapsed="false">
      <c r="A745" s="0" t="s">
        <v>1335</v>
      </c>
      <c r="B745" s="0" t="s">
        <v>121</v>
      </c>
      <c r="O745" s="114"/>
      <c r="P745" s="114"/>
    </row>
    <row r="746" customFormat="false" ht="13.8" hidden="false" customHeight="false" outlineLevel="0" collapsed="false">
      <c r="A746" s="0" t="s">
        <v>1338</v>
      </c>
      <c r="B746" s="0" t="s">
        <v>121</v>
      </c>
      <c r="O746" s="114"/>
      <c r="P746" s="114"/>
    </row>
    <row r="747" customFormat="false" ht="13.8" hidden="false" customHeight="false" outlineLevel="0" collapsed="false">
      <c r="A747" s="0" t="s">
        <v>1350</v>
      </c>
      <c r="B747" s="0" t="s">
        <v>121</v>
      </c>
      <c r="O747" s="114"/>
      <c r="P747" s="114"/>
    </row>
    <row r="748" customFormat="false" ht="13.8" hidden="false" customHeight="false" outlineLevel="0" collapsed="false">
      <c r="A748" s="0" t="s">
        <v>1352</v>
      </c>
      <c r="B748" s="0" t="s">
        <v>121</v>
      </c>
      <c r="O748" s="114"/>
      <c r="P748" s="114"/>
    </row>
    <row r="749" customFormat="false" ht="13.8" hidden="false" customHeight="false" outlineLevel="0" collapsed="false">
      <c r="A749" s="0" t="s">
        <v>1357</v>
      </c>
      <c r="B749" s="0" t="s">
        <v>121</v>
      </c>
      <c r="O749" s="114"/>
      <c r="P749" s="114"/>
    </row>
    <row r="750" customFormat="false" ht="13.8" hidden="false" customHeight="false" outlineLevel="0" collapsed="false">
      <c r="A750" s="0" t="s">
        <v>396</v>
      </c>
      <c r="B750" s="0" t="s">
        <v>121</v>
      </c>
      <c r="O750" s="114"/>
      <c r="P750" s="114"/>
    </row>
    <row r="751" customFormat="false" ht="13.8" hidden="false" customHeight="false" outlineLevel="0" collapsed="false">
      <c r="A751" s="0" t="s">
        <v>1361</v>
      </c>
      <c r="B751" s="0" t="s">
        <v>121</v>
      </c>
      <c r="O751" s="114"/>
      <c r="P751" s="114"/>
    </row>
    <row r="752" customFormat="false" ht="13.8" hidden="false" customHeight="false" outlineLevel="0" collapsed="false">
      <c r="A752" s="0" t="s">
        <v>1362</v>
      </c>
      <c r="B752" s="0" t="s">
        <v>121</v>
      </c>
      <c r="O752" s="114"/>
      <c r="P752" s="114"/>
    </row>
    <row r="753" customFormat="false" ht="13.8" hidden="false" customHeight="false" outlineLevel="0" collapsed="false">
      <c r="A753" s="0" t="s">
        <v>1378</v>
      </c>
      <c r="B753" s="0" t="s">
        <v>121</v>
      </c>
      <c r="O753" s="114"/>
      <c r="P753" s="114"/>
    </row>
    <row r="754" customFormat="false" ht="13.8" hidden="false" customHeight="false" outlineLevel="0" collapsed="false">
      <c r="A754" s="0" t="s">
        <v>1381</v>
      </c>
      <c r="B754" s="0" t="s">
        <v>121</v>
      </c>
      <c r="O754" s="114"/>
      <c r="P754" s="114"/>
    </row>
    <row r="755" customFormat="false" ht="13.8" hidden="false" customHeight="false" outlineLevel="0" collapsed="false">
      <c r="A755" s="0" t="s">
        <v>1384</v>
      </c>
      <c r="B755" s="0" t="s">
        <v>121</v>
      </c>
      <c r="O755" s="114"/>
      <c r="P755" s="114"/>
    </row>
    <row r="756" customFormat="false" ht="13.8" hidden="false" customHeight="false" outlineLevel="0" collapsed="false">
      <c r="A756" s="0" t="s">
        <v>1391</v>
      </c>
      <c r="B756" s="0" t="s">
        <v>121</v>
      </c>
      <c r="O756" s="114"/>
      <c r="P756" s="114"/>
    </row>
    <row r="757" customFormat="false" ht="13.8" hidden="false" customHeight="false" outlineLevel="0" collapsed="false">
      <c r="A757" s="0" t="s">
        <v>1404</v>
      </c>
      <c r="B757" s="0" t="s">
        <v>121</v>
      </c>
      <c r="O757" s="114"/>
      <c r="P757" s="114"/>
    </row>
    <row r="758" customFormat="false" ht="13.8" hidden="false" customHeight="false" outlineLevel="0" collapsed="false">
      <c r="A758" s="0" t="s">
        <v>1407</v>
      </c>
      <c r="B758" s="0" t="s">
        <v>121</v>
      </c>
      <c r="O758" s="114"/>
      <c r="P758" s="114"/>
    </row>
    <row r="759" customFormat="false" ht="13.8" hidden="false" customHeight="false" outlineLevel="0" collapsed="false">
      <c r="A759" s="0" t="s">
        <v>1410</v>
      </c>
      <c r="B759" s="0" t="s">
        <v>121</v>
      </c>
      <c r="O759" s="114"/>
      <c r="P759" s="114"/>
    </row>
    <row r="760" customFormat="false" ht="13.8" hidden="false" customHeight="false" outlineLevel="0" collapsed="false">
      <c r="A760" s="0" t="s">
        <v>1412</v>
      </c>
      <c r="B760" s="0" t="s">
        <v>121</v>
      </c>
      <c r="O760" s="114"/>
      <c r="P760" s="114"/>
    </row>
    <row r="761" customFormat="false" ht="13.8" hidden="false" customHeight="false" outlineLevel="0" collapsed="false">
      <c r="A761" s="0" t="s">
        <v>1414</v>
      </c>
      <c r="B761" s="0" t="s">
        <v>121</v>
      </c>
      <c r="O761" s="114"/>
      <c r="P761" s="114"/>
    </row>
    <row r="762" customFormat="false" ht="13.8" hidden="false" customHeight="false" outlineLevel="0" collapsed="false">
      <c r="A762" s="0" t="s">
        <v>1423</v>
      </c>
      <c r="B762" s="0" t="s">
        <v>121</v>
      </c>
      <c r="O762" s="114"/>
      <c r="P762" s="114"/>
    </row>
    <row r="763" customFormat="false" ht="13.8" hidden="false" customHeight="false" outlineLevel="0" collapsed="false">
      <c r="A763" s="0" t="s">
        <v>1426</v>
      </c>
      <c r="B763" s="0" t="s">
        <v>121</v>
      </c>
      <c r="O763" s="114"/>
      <c r="P763" s="114"/>
    </row>
    <row r="764" customFormat="false" ht="13.8" hidden="false" customHeight="false" outlineLevel="0" collapsed="false">
      <c r="A764" s="0" t="s">
        <v>1430</v>
      </c>
      <c r="B764" s="0" t="s">
        <v>121</v>
      </c>
      <c r="O764" s="114"/>
      <c r="P764" s="114"/>
    </row>
    <row r="765" customFormat="false" ht="13.8" hidden="false" customHeight="false" outlineLevel="0" collapsed="false">
      <c r="A765" s="0" t="s">
        <v>1435</v>
      </c>
      <c r="B765" s="0" t="s">
        <v>121</v>
      </c>
      <c r="O765" s="114"/>
      <c r="P765" s="114"/>
    </row>
    <row r="766" customFormat="false" ht="13.8" hidden="false" customHeight="false" outlineLevel="0" collapsed="false">
      <c r="A766" s="0" t="s">
        <v>392</v>
      </c>
      <c r="B766" s="0" t="s">
        <v>121</v>
      </c>
      <c r="O766" s="114"/>
      <c r="P766" s="114"/>
    </row>
    <row r="767" customFormat="false" ht="13.8" hidden="false" customHeight="false" outlineLevel="0" collapsed="false">
      <c r="A767" s="0" t="s">
        <v>1443</v>
      </c>
      <c r="B767" s="0" t="s">
        <v>121</v>
      </c>
      <c r="O767" s="114"/>
      <c r="P767" s="114"/>
    </row>
    <row r="768" customFormat="false" ht="13.8" hidden="false" customHeight="false" outlineLevel="0" collapsed="false">
      <c r="A768" s="0" t="s">
        <v>1446</v>
      </c>
      <c r="B768" s="0" t="s">
        <v>121</v>
      </c>
      <c r="O768" s="114"/>
      <c r="P768" s="114"/>
    </row>
    <row r="769" customFormat="false" ht="13.8" hidden="false" customHeight="false" outlineLevel="0" collapsed="false">
      <c r="A769" s="0" t="s">
        <v>1452</v>
      </c>
      <c r="B769" s="0" t="s">
        <v>121</v>
      </c>
      <c r="O769" s="114"/>
      <c r="P769" s="114"/>
    </row>
    <row r="770" customFormat="false" ht="13.8" hidden="false" customHeight="false" outlineLevel="0" collapsed="false">
      <c r="A770" s="0" t="s">
        <v>1458</v>
      </c>
      <c r="B770" s="0" t="s">
        <v>121</v>
      </c>
      <c r="O770" s="114"/>
      <c r="P770" s="114"/>
    </row>
    <row r="771" customFormat="false" ht="13.8" hidden="false" customHeight="false" outlineLevel="0" collapsed="false">
      <c r="A771" s="0" t="s">
        <v>1460</v>
      </c>
      <c r="B771" s="0" t="s">
        <v>121</v>
      </c>
      <c r="O771" s="114"/>
      <c r="P771" s="114"/>
    </row>
    <row r="772" customFormat="false" ht="13.8" hidden="false" customHeight="false" outlineLevel="0" collapsed="false">
      <c r="A772" s="0" t="s">
        <v>1463</v>
      </c>
      <c r="B772" s="0" t="s">
        <v>121</v>
      </c>
      <c r="O772" s="114"/>
      <c r="P772" s="114"/>
    </row>
    <row r="773" customFormat="false" ht="13.8" hidden="false" customHeight="false" outlineLevel="0" collapsed="false">
      <c r="A773" s="0" t="s">
        <v>1477</v>
      </c>
      <c r="B773" s="0" t="s">
        <v>121</v>
      </c>
      <c r="O773" s="114"/>
      <c r="P773" s="114"/>
    </row>
    <row r="774" customFormat="false" ht="13.8" hidden="false" customHeight="false" outlineLevel="0" collapsed="false">
      <c r="A774" s="0" t="s">
        <v>1483</v>
      </c>
      <c r="B774" s="0" t="s">
        <v>121</v>
      </c>
      <c r="O774" s="114"/>
      <c r="P774" s="114"/>
    </row>
    <row r="775" customFormat="false" ht="13.8" hidden="false" customHeight="false" outlineLevel="0" collapsed="false">
      <c r="A775" s="0" t="s">
        <v>1487</v>
      </c>
      <c r="B775" s="0" t="s">
        <v>121</v>
      </c>
      <c r="O775" s="114"/>
      <c r="P775" s="114"/>
    </row>
    <row r="776" customFormat="false" ht="13.8" hidden="false" customHeight="false" outlineLevel="0" collapsed="false">
      <c r="A776" s="0" t="s">
        <v>1489</v>
      </c>
      <c r="B776" s="0" t="s">
        <v>121</v>
      </c>
      <c r="O776" s="114"/>
      <c r="P776" s="114"/>
    </row>
    <row r="777" customFormat="false" ht="13.8" hidden="false" customHeight="false" outlineLevel="0" collapsed="false">
      <c r="A777" s="0" t="s">
        <v>1493</v>
      </c>
      <c r="B777" s="0" t="s">
        <v>121</v>
      </c>
      <c r="O777" s="114"/>
      <c r="P777" s="114"/>
    </row>
    <row r="778" customFormat="false" ht="13.8" hidden="false" customHeight="false" outlineLevel="0" collapsed="false">
      <c r="A778" s="0" t="s">
        <v>1499</v>
      </c>
      <c r="B778" s="0" t="s">
        <v>121</v>
      </c>
      <c r="O778" s="114"/>
      <c r="P778" s="114"/>
    </row>
    <row r="779" customFormat="false" ht="13.8" hidden="false" customHeight="false" outlineLevel="0" collapsed="false">
      <c r="A779" s="0" t="s">
        <v>1504</v>
      </c>
      <c r="B779" s="0" t="s">
        <v>121</v>
      </c>
      <c r="O779" s="114"/>
      <c r="P779" s="114"/>
    </row>
    <row r="780" customFormat="false" ht="13.8" hidden="false" customHeight="false" outlineLevel="0" collapsed="false">
      <c r="A780" s="0" t="s">
        <v>1508</v>
      </c>
      <c r="B780" s="0" t="s">
        <v>121</v>
      </c>
      <c r="O780" s="114"/>
      <c r="P780" s="114"/>
    </row>
    <row r="781" customFormat="false" ht="13.8" hidden="false" customHeight="false" outlineLevel="0" collapsed="false">
      <c r="A781" s="0" t="s">
        <v>1204</v>
      </c>
      <c r="B781" s="0" t="s">
        <v>121</v>
      </c>
      <c r="O781" s="114"/>
      <c r="P781" s="114"/>
    </row>
    <row r="782" customFormat="false" ht="13.8" hidden="false" customHeight="false" outlineLevel="0" collapsed="false">
      <c r="A782" s="0" t="s">
        <v>1468</v>
      </c>
      <c r="B782" s="0" t="s">
        <v>121</v>
      </c>
      <c r="O782" s="114"/>
      <c r="P782" s="114"/>
    </row>
    <row r="783" customFormat="false" ht="13.8" hidden="false" customHeight="false" outlineLevel="0" collapsed="false">
      <c r="A783" s="0" t="s">
        <v>1257</v>
      </c>
      <c r="B783" s="0" t="s">
        <v>121</v>
      </c>
      <c r="O783" s="114"/>
      <c r="P783" s="114"/>
    </row>
    <row r="784" customFormat="false" ht="13.8" hidden="false" customHeight="false" outlineLevel="0" collapsed="false">
      <c r="A784" s="0" t="s">
        <v>1310</v>
      </c>
      <c r="B784" s="0" t="s">
        <v>121</v>
      </c>
      <c r="O784" s="114"/>
      <c r="P784" s="114"/>
    </row>
    <row r="785" customFormat="false" ht="13.8" hidden="false" customHeight="false" outlineLevel="0" collapsed="false">
      <c r="A785" s="0" t="s">
        <v>1313</v>
      </c>
      <c r="B785" s="0" t="s">
        <v>121</v>
      </c>
      <c r="O785" s="114"/>
      <c r="P785" s="114"/>
    </row>
    <row r="786" customFormat="false" ht="13.8" hidden="false" customHeight="false" outlineLevel="0" collapsed="false">
      <c r="A786" s="0" t="s">
        <v>1394</v>
      </c>
      <c r="B786" s="0" t="s">
        <v>121</v>
      </c>
      <c r="O786" s="114"/>
      <c r="P786" s="114"/>
    </row>
    <row r="787" customFormat="false" ht="13.8" hidden="false" customHeight="false" outlineLevel="0" collapsed="false">
      <c r="A787" s="0" t="s">
        <v>1228</v>
      </c>
      <c r="B787" s="0" t="s">
        <v>121</v>
      </c>
      <c r="O787" s="114"/>
      <c r="P787" s="114"/>
    </row>
    <row r="788" customFormat="false" ht="13.8" hidden="false" customHeight="false" outlineLevel="0" collapsed="false">
      <c r="A788" s="0" t="s">
        <v>1174</v>
      </c>
      <c r="B788" s="0" t="s">
        <v>121</v>
      </c>
      <c r="O788" s="114"/>
      <c r="P788" s="114"/>
    </row>
    <row r="789" customFormat="false" ht="13.8" hidden="false" customHeight="false" outlineLevel="0" collapsed="false">
      <c r="A789" s="0" t="s">
        <v>1262</v>
      </c>
      <c r="B789" s="0" t="s">
        <v>121</v>
      </c>
      <c r="O789" s="114"/>
      <c r="P789" s="114"/>
    </row>
    <row r="790" customFormat="false" ht="13.8" hidden="false" customHeight="false" outlineLevel="0" collapsed="false">
      <c r="A790" s="0" t="s">
        <v>1197</v>
      </c>
      <c r="B790" s="0" t="s">
        <v>121</v>
      </c>
      <c r="O790" s="114"/>
      <c r="P790" s="114"/>
    </row>
    <row r="791" customFormat="false" ht="13.8" hidden="false" customHeight="false" outlineLevel="0" collapsed="false">
      <c r="A791" s="0" t="s">
        <v>1405</v>
      </c>
      <c r="B791" s="0" t="s">
        <v>121</v>
      </c>
      <c r="O791" s="114"/>
      <c r="P791" s="114"/>
    </row>
    <row r="792" customFormat="false" ht="13.8" hidden="false" customHeight="false" outlineLevel="0" collapsed="false">
      <c r="A792" s="0" t="s">
        <v>1424</v>
      </c>
      <c r="B792" s="0" t="s">
        <v>121</v>
      </c>
      <c r="O792" s="114"/>
      <c r="P792" s="114"/>
    </row>
    <row r="793" customFormat="false" ht="13.8" hidden="false" customHeight="false" outlineLevel="0" collapsed="false">
      <c r="A793" s="0" t="s">
        <v>1349</v>
      </c>
      <c r="B793" s="0" t="s">
        <v>121</v>
      </c>
      <c r="O793" s="114"/>
      <c r="P793" s="114"/>
    </row>
    <row r="794" customFormat="false" ht="13.8" hidden="false" customHeight="false" outlineLevel="0" collapsed="false">
      <c r="A794" s="0" t="s">
        <v>1283</v>
      </c>
      <c r="B794" s="0" t="s">
        <v>121</v>
      </c>
      <c r="O794" s="114"/>
      <c r="P794" s="114"/>
    </row>
    <row r="795" customFormat="false" ht="13.8" hidden="false" customHeight="false" outlineLevel="0" collapsed="false">
      <c r="A795" s="0" t="s">
        <v>1289</v>
      </c>
      <c r="B795" s="0" t="s">
        <v>121</v>
      </c>
      <c r="O795" s="114"/>
      <c r="P795" s="114"/>
    </row>
    <row r="796" customFormat="false" ht="13.8" hidden="false" customHeight="false" outlineLevel="0" collapsed="false">
      <c r="A796" s="0" t="s">
        <v>1324</v>
      </c>
      <c r="B796" s="0" t="s">
        <v>121</v>
      </c>
      <c r="O796" s="114"/>
      <c r="P796" s="114"/>
    </row>
    <row r="797" customFormat="false" ht="13.8" hidden="false" customHeight="false" outlineLevel="0" collapsed="false">
      <c r="A797" s="0" t="s">
        <v>1272</v>
      </c>
      <c r="B797" s="0" t="s">
        <v>121</v>
      </c>
      <c r="O797" s="114"/>
      <c r="P797" s="114"/>
    </row>
    <row r="798" customFormat="false" ht="13.8" hidden="false" customHeight="false" outlineLevel="0" collapsed="false">
      <c r="A798" s="0" t="s">
        <v>1343</v>
      </c>
      <c r="B798" s="0" t="s">
        <v>121</v>
      </c>
      <c r="O798" s="114"/>
      <c r="P798" s="114"/>
    </row>
    <row r="799" customFormat="false" ht="13.8" hidden="false" customHeight="false" outlineLevel="0" collapsed="false">
      <c r="A799" s="0" t="s">
        <v>1276</v>
      </c>
      <c r="B799" s="0" t="s">
        <v>121</v>
      </c>
      <c r="O799" s="114"/>
      <c r="P799" s="114"/>
    </row>
    <row r="800" customFormat="false" ht="13.8" hidden="false" customHeight="false" outlineLevel="0" collapsed="false">
      <c r="A800" s="0" t="s">
        <v>2122</v>
      </c>
      <c r="B800" s="0" t="s">
        <v>2123</v>
      </c>
      <c r="O800" s="114"/>
      <c r="P800" s="114"/>
    </row>
    <row r="801" customFormat="false" ht="13.8" hidden="false" customHeight="false" outlineLevel="0" collapsed="false">
      <c r="A801" s="0" t="s">
        <v>2139</v>
      </c>
      <c r="B801" s="0" t="s">
        <v>2123</v>
      </c>
      <c r="O801" s="114"/>
      <c r="P801" s="114"/>
    </row>
    <row r="802" customFormat="false" ht="13.8" hidden="false" customHeight="false" outlineLevel="0" collapsed="false">
      <c r="A802" s="0" t="s">
        <v>2147</v>
      </c>
      <c r="B802" s="0" t="s">
        <v>2123</v>
      </c>
      <c r="O802" s="114"/>
      <c r="P802" s="114"/>
    </row>
    <row r="803" customFormat="false" ht="13.8" hidden="false" customHeight="false" outlineLevel="0" collapsed="false">
      <c r="A803" s="0" t="s">
        <v>2155</v>
      </c>
      <c r="B803" s="0" t="s">
        <v>2123</v>
      </c>
      <c r="O803" s="114"/>
      <c r="P803" s="114"/>
    </row>
    <row r="804" customFormat="false" ht="13.8" hidden="false" customHeight="false" outlineLevel="0" collapsed="false">
      <c r="A804" s="0" t="s">
        <v>2165</v>
      </c>
      <c r="B804" s="0" t="s">
        <v>2123</v>
      </c>
      <c r="O804" s="114"/>
      <c r="P804" s="114"/>
    </row>
    <row r="805" customFormat="false" ht="13.8" hidden="false" customHeight="false" outlineLevel="0" collapsed="false">
      <c r="A805" s="0" t="s">
        <v>2168</v>
      </c>
      <c r="B805" s="0" t="s">
        <v>2123</v>
      </c>
      <c r="O805" s="114"/>
      <c r="P805" s="114"/>
    </row>
    <row r="806" customFormat="false" ht="13.8" hidden="false" customHeight="false" outlineLevel="0" collapsed="false">
      <c r="A806" s="0" t="s">
        <v>2175</v>
      </c>
      <c r="B806" s="0" t="s">
        <v>2123</v>
      </c>
      <c r="O806" s="114"/>
      <c r="P806" s="114"/>
    </row>
    <row r="807" customFormat="false" ht="13.8" hidden="false" customHeight="false" outlineLevel="0" collapsed="false">
      <c r="A807" s="0" t="s">
        <v>2183</v>
      </c>
      <c r="B807" s="0" t="s">
        <v>2123</v>
      </c>
      <c r="O807" s="114"/>
      <c r="P807" s="114"/>
    </row>
    <row r="808" customFormat="false" ht="13.8" hidden="false" customHeight="false" outlineLevel="0" collapsed="false">
      <c r="A808" s="0" t="s">
        <v>2188</v>
      </c>
      <c r="B808" s="0" t="s">
        <v>2123</v>
      </c>
      <c r="O808" s="114"/>
      <c r="P808" s="114"/>
    </row>
    <row r="809" customFormat="false" ht="13.8" hidden="false" customHeight="false" outlineLevel="0" collapsed="false">
      <c r="A809" s="0" t="s">
        <v>2193</v>
      </c>
      <c r="B809" s="0" t="s">
        <v>2123</v>
      </c>
      <c r="O809" s="114"/>
      <c r="P809" s="114"/>
    </row>
    <row r="810" customFormat="false" ht="13.8" hidden="false" customHeight="false" outlineLevel="0" collapsed="false">
      <c r="A810" s="0" t="s">
        <v>2199</v>
      </c>
      <c r="B810" s="0" t="s">
        <v>2123</v>
      </c>
      <c r="O810" s="114"/>
      <c r="P810" s="114"/>
    </row>
    <row r="811" customFormat="false" ht="13.8" hidden="false" customHeight="false" outlineLevel="0" collapsed="false">
      <c r="A811" s="0" t="s">
        <v>2204</v>
      </c>
      <c r="B811" s="0" t="s">
        <v>2123</v>
      </c>
      <c r="O811" s="114"/>
      <c r="P811" s="114"/>
    </row>
    <row r="812" customFormat="false" ht="13.8" hidden="false" customHeight="false" outlineLevel="0" collapsed="false">
      <c r="A812" s="0" t="s">
        <v>2209</v>
      </c>
      <c r="B812" s="0" t="s">
        <v>2123</v>
      </c>
      <c r="O812" s="114"/>
      <c r="P812" s="114"/>
    </row>
    <row r="813" customFormat="false" ht="13.8" hidden="false" customHeight="false" outlineLevel="0" collapsed="false">
      <c r="A813" s="0" t="s">
        <v>2216</v>
      </c>
      <c r="B813" s="0" t="s">
        <v>2123</v>
      </c>
      <c r="O813" s="114"/>
      <c r="P813" s="114"/>
    </row>
    <row r="814" customFormat="false" ht="13.8" hidden="false" customHeight="false" outlineLevel="0" collapsed="false">
      <c r="A814" s="0" t="s">
        <v>2219</v>
      </c>
      <c r="B814" s="0" t="s">
        <v>2123</v>
      </c>
      <c r="O814" s="114"/>
      <c r="P814" s="114"/>
    </row>
    <row r="815" customFormat="false" ht="13.8" hidden="false" customHeight="false" outlineLevel="0" collapsed="false">
      <c r="A815" s="0" t="s">
        <v>2225</v>
      </c>
      <c r="B815" s="0" t="s">
        <v>2123</v>
      </c>
      <c r="O815" s="114"/>
      <c r="P815" s="114"/>
    </row>
    <row r="816" customFormat="false" ht="13.8" hidden="false" customHeight="false" outlineLevel="0" collapsed="false">
      <c r="A816" s="0" t="s">
        <v>2228</v>
      </c>
      <c r="B816" s="0" t="s">
        <v>2123</v>
      </c>
      <c r="O816" s="114"/>
      <c r="P816" s="114"/>
    </row>
    <row r="817" customFormat="false" ht="13.8" hidden="false" customHeight="false" outlineLevel="0" collapsed="false">
      <c r="A817" s="0" t="s">
        <v>2233</v>
      </c>
      <c r="B817" s="0" t="s">
        <v>2123</v>
      </c>
      <c r="O817" s="114"/>
      <c r="P817" s="114"/>
    </row>
    <row r="818" customFormat="false" ht="13.8" hidden="false" customHeight="false" outlineLevel="0" collapsed="false">
      <c r="A818" s="0" t="s">
        <v>2243</v>
      </c>
      <c r="B818" s="0" t="s">
        <v>2123</v>
      </c>
      <c r="O818" s="114"/>
      <c r="P818" s="114"/>
    </row>
    <row r="819" customFormat="false" ht="13.8" hidden="false" customHeight="false" outlineLevel="0" collapsed="false">
      <c r="A819" s="0" t="s">
        <v>2261</v>
      </c>
      <c r="B819" s="0" t="s">
        <v>2123</v>
      </c>
      <c r="O819" s="114"/>
      <c r="P819" s="114"/>
    </row>
    <row r="820" customFormat="false" ht="13.8" hidden="false" customHeight="false" outlineLevel="0" collapsed="false">
      <c r="A820" s="0" t="s">
        <v>2264</v>
      </c>
      <c r="B820" s="0" t="s">
        <v>2123</v>
      </c>
      <c r="O820" s="114"/>
      <c r="P820" s="114"/>
    </row>
    <row r="821" customFormat="false" ht="13.8" hidden="false" customHeight="false" outlineLevel="0" collapsed="false">
      <c r="A821" s="0" t="s">
        <v>2270</v>
      </c>
      <c r="B821" s="0" t="s">
        <v>2123</v>
      </c>
      <c r="O821" s="114"/>
      <c r="P821" s="114"/>
    </row>
    <row r="822" customFormat="false" ht="13.8" hidden="false" customHeight="false" outlineLevel="0" collapsed="false">
      <c r="A822" s="0" t="s">
        <v>2286</v>
      </c>
      <c r="B822" s="0" t="s">
        <v>2123</v>
      </c>
      <c r="O822" s="114"/>
      <c r="P822" s="114"/>
    </row>
    <row r="823" customFormat="false" ht="13.8" hidden="false" customHeight="false" outlineLevel="0" collapsed="false">
      <c r="A823" s="0" t="s">
        <v>2291</v>
      </c>
      <c r="B823" s="0" t="s">
        <v>2123</v>
      </c>
      <c r="O823" s="114"/>
      <c r="P823" s="114"/>
    </row>
    <row r="824" customFormat="false" ht="13.8" hidden="false" customHeight="false" outlineLevel="0" collapsed="false">
      <c r="A824" s="0" t="s">
        <v>2295</v>
      </c>
      <c r="B824" s="0" t="s">
        <v>2123</v>
      </c>
      <c r="O824" s="114"/>
      <c r="P824" s="114"/>
    </row>
    <row r="825" customFormat="false" ht="13.8" hidden="false" customHeight="false" outlineLevel="0" collapsed="false">
      <c r="A825" s="0" t="s">
        <v>2306</v>
      </c>
      <c r="B825" s="0" t="s">
        <v>2123</v>
      </c>
      <c r="O825" s="114"/>
      <c r="P825" s="114"/>
    </row>
    <row r="826" customFormat="false" ht="13.8" hidden="false" customHeight="false" outlineLevel="0" collapsed="false">
      <c r="A826" s="0" t="s">
        <v>2321</v>
      </c>
      <c r="B826" s="0" t="s">
        <v>2123</v>
      </c>
      <c r="O826" s="114"/>
      <c r="P826" s="114"/>
    </row>
    <row r="827" customFormat="false" ht="13.8" hidden="false" customHeight="false" outlineLevel="0" collapsed="false">
      <c r="A827" s="0" t="s">
        <v>2324</v>
      </c>
      <c r="B827" s="0" t="s">
        <v>2123</v>
      </c>
      <c r="O827" s="114"/>
      <c r="P827" s="114"/>
    </row>
    <row r="828" customFormat="false" ht="13.8" hidden="false" customHeight="false" outlineLevel="0" collapsed="false">
      <c r="A828" s="0" t="s">
        <v>2327</v>
      </c>
      <c r="B828" s="0" t="s">
        <v>2123</v>
      </c>
      <c r="O828" s="114"/>
      <c r="P828" s="114"/>
    </row>
    <row r="829" customFormat="false" ht="13.8" hidden="false" customHeight="false" outlineLevel="0" collapsed="false">
      <c r="A829" s="0" t="s">
        <v>2330</v>
      </c>
      <c r="B829" s="0" t="s">
        <v>2123</v>
      </c>
      <c r="O829" s="114"/>
      <c r="P829" s="114"/>
    </row>
    <row r="830" customFormat="false" ht="13.8" hidden="false" customHeight="false" outlineLevel="0" collapsed="false">
      <c r="A830" s="0" t="s">
        <v>2335</v>
      </c>
      <c r="B830" s="0" t="s">
        <v>2123</v>
      </c>
      <c r="O830" s="114"/>
      <c r="P830" s="114"/>
    </row>
    <row r="831" customFormat="false" ht="13.8" hidden="false" customHeight="false" outlineLevel="0" collapsed="false">
      <c r="A831" s="0" t="s">
        <v>2130</v>
      </c>
      <c r="B831" s="0" t="s">
        <v>2123</v>
      </c>
      <c r="O831" s="114"/>
      <c r="P831" s="114"/>
    </row>
    <row r="832" customFormat="false" ht="13.8" hidden="false" customHeight="false" outlineLevel="0" collapsed="false">
      <c r="A832" s="0" t="s">
        <v>2314</v>
      </c>
      <c r="B832" s="0" t="s">
        <v>2123</v>
      </c>
      <c r="O832" s="114"/>
      <c r="P832" s="114"/>
    </row>
    <row r="833" customFormat="false" ht="13.8" hidden="false" customHeight="false" outlineLevel="0" collapsed="false">
      <c r="A833" s="0" t="s">
        <v>2252</v>
      </c>
      <c r="B833" s="0" t="s">
        <v>2123</v>
      </c>
      <c r="O833" s="114"/>
      <c r="P833" s="114"/>
    </row>
    <row r="834" customFormat="false" ht="13.8" hidden="false" customHeight="false" outlineLevel="0" collapsed="false">
      <c r="A834" s="0" t="s">
        <v>2222</v>
      </c>
      <c r="B834" s="0" t="s">
        <v>2123</v>
      </c>
      <c r="O834" s="114"/>
      <c r="P834" s="114"/>
    </row>
    <row r="835" customFormat="false" ht="13.8" hidden="false" customHeight="false" outlineLevel="0" collapsed="false">
      <c r="A835" s="0" t="s">
        <v>2152</v>
      </c>
      <c r="B835" s="0" t="s">
        <v>2123</v>
      </c>
      <c r="O835" s="114"/>
      <c r="P835" s="114"/>
    </row>
    <row r="836" customFormat="false" ht="13.8" hidden="false" customHeight="false" outlineLevel="0" collapsed="false">
      <c r="A836" s="0" t="s">
        <v>2240</v>
      </c>
      <c r="B836" s="0" t="s">
        <v>2123</v>
      </c>
      <c r="O836" s="114"/>
      <c r="P836" s="114"/>
    </row>
    <row r="837" customFormat="false" ht="13.8" hidden="false" customHeight="false" outlineLevel="0" collapsed="false">
      <c r="A837" s="0" t="s">
        <v>2164</v>
      </c>
      <c r="B837" s="0" t="s">
        <v>2123</v>
      </c>
      <c r="O837" s="114"/>
      <c r="P837" s="114"/>
    </row>
    <row r="838" customFormat="false" ht="13.8" hidden="false" customHeight="false" outlineLevel="0" collapsed="false">
      <c r="A838" s="0" t="s">
        <v>2340</v>
      </c>
      <c r="B838" s="0" t="s">
        <v>242</v>
      </c>
      <c r="O838" s="114"/>
      <c r="P838" s="114"/>
    </row>
    <row r="839" customFormat="false" ht="13.8" hidden="false" customHeight="false" outlineLevel="0" collapsed="false">
      <c r="A839" s="0" t="s">
        <v>2345</v>
      </c>
      <c r="B839" s="0" t="s">
        <v>242</v>
      </c>
      <c r="O839" s="114"/>
      <c r="P839" s="114"/>
    </row>
    <row r="840" customFormat="false" ht="13.8" hidden="false" customHeight="false" outlineLevel="0" collapsed="false">
      <c r="A840" s="0" t="s">
        <v>2348</v>
      </c>
      <c r="B840" s="0" t="s">
        <v>242</v>
      </c>
      <c r="O840" s="114"/>
      <c r="P840" s="114"/>
    </row>
    <row r="841" customFormat="false" ht="13.8" hidden="false" customHeight="false" outlineLevel="0" collapsed="false">
      <c r="A841" s="0" t="s">
        <v>2352</v>
      </c>
      <c r="B841" s="0" t="s">
        <v>242</v>
      </c>
      <c r="O841" s="114"/>
      <c r="P841" s="114"/>
    </row>
    <row r="842" customFormat="false" ht="13.8" hidden="false" customHeight="false" outlineLevel="0" collapsed="false">
      <c r="A842" s="0" t="s">
        <v>2356</v>
      </c>
      <c r="B842" s="0" t="s">
        <v>242</v>
      </c>
      <c r="O842" s="114"/>
      <c r="P842" s="114"/>
    </row>
    <row r="843" customFormat="false" ht="13.8" hidden="false" customHeight="false" outlineLevel="0" collapsed="false">
      <c r="A843" s="0" t="s">
        <v>2370</v>
      </c>
      <c r="B843" s="0" t="s">
        <v>242</v>
      </c>
      <c r="O843" s="114"/>
      <c r="P843" s="114"/>
    </row>
    <row r="844" customFormat="false" ht="13.8" hidden="false" customHeight="false" outlineLevel="0" collapsed="false">
      <c r="A844" s="0" t="s">
        <v>2374</v>
      </c>
      <c r="B844" s="0" t="s">
        <v>242</v>
      </c>
      <c r="O844" s="114"/>
      <c r="P844" s="114"/>
    </row>
    <row r="845" customFormat="false" ht="13.8" hidden="false" customHeight="false" outlineLevel="0" collapsed="false">
      <c r="A845" s="0" t="s">
        <v>2377</v>
      </c>
      <c r="B845" s="0" t="s">
        <v>242</v>
      </c>
      <c r="O845" s="114"/>
      <c r="P845" s="114"/>
    </row>
    <row r="846" customFormat="false" ht="13.8" hidden="false" customHeight="false" outlineLevel="0" collapsed="false">
      <c r="A846" s="0" t="s">
        <v>2381</v>
      </c>
      <c r="B846" s="0" t="s">
        <v>242</v>
      </c>
      <c r="O846" s="114"/>
      <c r="P846" s="114"/>
    </row>
    <row r="847" customFormat="false" ht="13.8" hidden="false" customHeight="false" outlineLevel="0" collapsed="false">
      <c r="A847" s="0" t="s">
        <v>2385</v>
      </c>
      <c r="B847" s="0" t="s">
        <v>242</v>
      </c>
      <c r="O847" s="114"/>
      <c r="P847" s="114"/>
    </row>
    <row r="848" customFormat="false" ht="13.8" hidden="false" customHeight="false" outlineLevel="0" collapsed="false">
      <c r="A848" s="0" t="s">
        <v>2391</v>
      </c>
      <c r="B848" s="0" t="s">
        <v>242</v>
      </c>
      <c r="O848" s="114"/>
      <c r="P848" s="114"/>
    </row>
    <row r="849" customFormat="false" ht="13.8" hidden="false" customHeight="false" outlineLevel="0" collapsed="false">
      <c r="A849" s="0" t="s">
        <v>2392</v>
      </c>
      <c r="B849" s="0" t="s">
        <v>242</v>
      </c>
      <c r="O849" s="114"/>
      <c r="P849" s="114"/>
    </row>
    <row r="850" customFormat="false" ht="13.8" hidden="false" customHeight="false" outlineLevel="0" collapsed="false">
      <c r="A850" s="0" t="s">
        <v>2393</v>
      </c>
      <c r="B850" s="0" t="s">
        <v>242</v>
      </c>
      <c r="O850" s="114"/>
      <c r="P850" s="114"/>
    </row>
    <row r="851" customFormat="false" ht="13.8" hidden="false" customHeight="false" outlineLevel="0" collapsed="false">
      <c r="A851" s="0" t="s">
        <v>2396</v>
      </c>
      <c r="B851" s="0" t="s">
        <v>242</v>
      </c>
      <c r="O851" s="114"/>
      <c r="P851" s="114"/>
    </row>
    <row r="852" customFormat="false" ht="13.8" hidden="false" customHeight="false" outlineLevel="0" collapsed="false">
      <c r="A852" s="0" t="s">
        <v>2397</v>
      </c>
      <c r="B852" s="0" t="s">
        <v>242</v>
      </c>
      <c r="O852" s="114"/>
      <c r="P852" s="114"/>
    </row>
    <row r="853" customFormat="false" ht="13.8" hidden="false" customHeight="false" outlineLevel="0" collapsed="false">
      <c r="A853" s="0" t="s">
        <v>2409</v>
      </c>
      <c r="B853" s="0" t="s">
        <v>242</v>
      </c>
      <c r="O853" s="114"/>
      <c r="P853" s="114"/>
    </row>
    <row r="854" customFormat="false" ht="13.8" hidden="false" customHeight="false" outlineLevel="0" collapsed="false">
      <c r="A854" s="0" t="s">
        <v>2410</v>
      </c>
      <c r="B854" s="0" t="s">
        <v>242</v>
      </c>
      <c r="O854" s="114"/>
      <c r="P854" s="114"/>
    </row>
    <row r="855" customFormat="false" ht="13.8" hidden="false" customHeight="false" outlineLevel="0" collapsed="false">
      <c r="A855" s="0" t="s">
        <v>2416</v>
      </c>
      <c r="B855" s="0" t="s">
        <v>242</v>
      </c>
      <c r="O855" s="114"/>
      <c r="P855" s="114"/>
    </row>
    <row r="856" customFormat="false" ht="13.8" hidden="false" customHeight="false" outlineLevel="0" collapsed="false">
      <c r="A856" s="0" t="s">
        <v>2424</v>
      </c>
      <c r="B856" s="0" t="s">
        <v>242</v>
      </c>
      <c r="O856" s="114"/>
      <c r="P856" s="114"/>
    </row>
    <row r="857" customFormat="false" ht="13.8" hidden="false" customHeight="false" outlineLevel="0" collapsed="false">
      <c r="A857" s="0" t="s">
        <v>2430</v>
      </c>
      <c r="B857" s="0" t="s">
        <v>242</v>
      </c>
      <c r="O857" s="114"/>
      <c r="P857" s="114"/>
    </row>
    <row r="858" customFormat="false" ht="13.8" hidden="false" customHeight="false" outlineLevel="0" collapsed="false">
      <c r="A858" s="0" t="s">
        <v>2433</v>
      </c>
      <c r="B858" s="0" t="s">
        <v>242</v>
      </c>
      <c r="O858" s="114"/>
      <c r="P858" s="114"/>
    </row>
    <row r="859" customFormat="false" ht="13.8" hidden="false" customHeight="false" outlineLevel="0" collapsed="false">
      <c r="A859" s="0" t="s">
        <v>243</v>
      </c>
      <c r="B859" s="0" t="s">
        <v>242</v>
      </c>
      <c r="O859" s="114"/>
      <c r="P859" s="114"/>
    </row>
    <row r="860" customFormat="false" ht="13.8" hidden="false" customHeight="false" outlineLevel="0" collapsed="false">
      <c r="A860" s="0" t="s">
        <v>2438</v>
      </c>
      <c r="B860" s="0" t="s">
        <v>242</v>
      </c>
      <c r="O860" s="114"/>
      <c r="P860" s="114"/>
    </row>
    <row r="861" customFormat="false" ht="13.8" hidden="false" customHeight="false" outlineLevel="0" collapsed="false">
      <c r="A861" s="0" t="s">
        <v>2400</v>
      </c>
      <c r="B861" s="0" t="s">
        <v>242</v>
      </c>
      <c r="O861" s="114"/>
      <c r="P861" s="114"/>
    </row>
    <row r="862" customFormat="false" ht="13.8" hidden="false" customHeight="false" outlineLevel="0" collapsed="false">
      <c r="A862" s="0" t="s">
        <v>2411</v>
      </c>
      <c r="B862" s="0" t="s">
        <v>242</v>
      </c>
      <c r="O862" s="114"/>
      <c r="P862" s="114"/>
    </row>
    <row r="863" customFormat="false" ht="13.8" hidden="false" customHeight="false" outlineLevel="0" collapsed="false">
      <c r="A863" s="0" t="s">
        <v>2351</v>
      </c>
      <c r="B863" s="0" t="s">
        <v>242</v>
      </c>
    </row>
    <row r="864" customFormat="false" ht="13.8" hidden="false" customHeight="false" outlineLevel="0" collapsed="false">
      <c r="A864" s="0" t="s">
        <v>2405</v>
      </c>
      <c r="B864" s="0" t="s">
        <v>242</v>
      </c>
    </row>
    <row r="865" customFormat="false" ht="13.8" hidden="false" customHeight="false" outlineLevel="0" collapsed="false">
      <c r="A865" s="0" t="n">
        <v>22</v>
      </c>
      <c r="B865" s="0" t="s">
        <v>74</v>
      </c>
    </row>
    <row r="866" customFormat="false" ht="13.8" hidden="false" customHeight="false" outlineLevel="0" collapsed="false">
      <c r="A866" s="0" t="n">
        <v>33</v>
      </c>
      <c r="B866" s="0" t="s">
        <v>74</v>
      </c>
    </row>
    <row r="867" customFormat="false" ht="13.8" hidden="false" customHeight="false" outlineLevel="0" collapsed="false">
      <c r="A867" s="0" t="s">
        <v>470</v>
      </c>
      <c r="B867" s="0" t="s">
        <v>74</v>
      </c>
    </row>
    <row r="868" customFormat="false" ht="13.8" hidden="false" customHeight="false" outlineLevel="0" collapsed="false">
      <c r="A868" s="0" t="s">
        <v>479</v>
      </c>
      <c r="B868" s="0" t="s">
        <v>74</v>
      </c>
    </row>
    <row r="869" customFormat="false" ht="13.8" hidden="false" customHeight="false" outlineLevel="0" collapsed="false">
      <c r="A869" s="0" t="s">
        <v>482</v>
      </c>
      <c r="B869" s="0" t="s">
        <v>74</v>
      </c>
    </row>
    <row r="870" customFormat="false" ht="13.8" hidden="false" customHeight="false" outlineLevel="0" collapsed="false">
      <c r="A870" s="0" t="s">
        <v>487</v>
      </c>
      <c r="B870" s="0" t="s">
        <v>74</v>
      </c>
    </row>
    <row r="871" customFormat="false" ht="13.8" hidden="false" customHeight="false" outlineLevel="0" collapsed="false">
      <c r="A871" s="0" t="s">
        <v>491</v>
      </c>
      <c r="B871" s="0" t="s">
        <v>74</v>
      </c>
    </row>
    <row r="872" customFormat="false" ht="13.8" hidden="false" customHeight="false" outlineLevel="0" collapsed="false">
      <c r="A872" s="0" t="s">
        <v>496</v>
      </c>
      <c r="B872" s="0" t="s">
        <v>74</v>
      </c>
    </row>
    <row r="873" customFormat="false" ht="13.8" hidden="false" customHeight="false" outlineLevel="0" collapsed="false">
      <c r="A873" s="0" t="s">
        <v>503</v>
      </c>
      <c r="B873" s="0" t="s">
        <v>74</v>
      </c>
    </row>
    <row r="874" customFormat="false" ht="13.8" hidden="false" customHeight="false" outlineLevel="0" collapsed="false">
      <c r="A874" s="0" t="s">
        <v>508</v>
      </c>
      <c r="B874" s="0" t="s">
        <v>74</v>
      </c>
    </row>
    <row r="875" customFormat="false" ht="13.8" hidden="false" customHeight="false" outlineLevel="0" collapsed="false">
      <c r="A875" s="0" t="s">
        <v>513</v>
      </c>
      <c r="B875" s="0" t="s">
        <v>74</v>
      </c>
    </row>
    <row r="876" customFormat="false" ht="13.8" hidden="false" customHeight="false" outlineLevel="0" collapsed="false">
      <c r="A876" s="0" t="s">
        <v>516</v>
      </c>
      <c r="B876" s="0" t="s">
        <v>74</v>
      </c>
    </row>
    <row r="877" customFormat="false" ht="13.8" hidden="false" customHeight="false" outlineLevel="0" collapsed="false">
      <c r="A877" s="0" t="s">
        <v>521</v>
      </c>
      <c r="B877" s="0" t="s">
        <v>74</v>
      </c>
    </row>
    <row r="878" customFormat="false" ht="13.8" hidden="false" customHeight="false" outlineLevel="0" collapsed="false">
      <c r="A878" s="0" t="s">
        <v>526</v>
      </c>
      <c r="B878" s="0" t="s">
        <v>74</v>
      </c>
    </row>
    <row r="879" customFormat="false" ht="13.8" hidden="false" customHeight="false" outlineLevel="0" collapsed="false">
      <c r="A879" s="0" t="s">
        <v>532</v>
      </c>
      <c r="B879" s="0" t="s">
        <v>74</v>
      </c>
    </row>
    <row r="880" customFormat="false" ht="13.8" hidden="false" customHeight="false" outlineLevel="0" collapsed="false">
      <c r="A880" s="0" t="s">
        <v>537</v>
      </c>
      <c r="B880" s="0" t="s">
        <v>74</v>
      </c>
    </row>
    <row r="881" customFormat="false" ht="13.8" hidden="false" customHeight="false" outlineLevel="0" collapsed="false">
      <c r="A881" s="0" t="s">
        <v>542</v>
      </c>
      <c r="B881" s="0" t="s">
        <v>74</v>
      </c>
    </row>
    <row r="882" customFormat="false" ht="13.8" hidden="false" customHeight="false" outlineLevel="0" collapsed="false">
      <c r="A882" s="0" t="s">
        <v>546</v>
      </c>
      <c r="B882" s="0" t="s">
        <v>74</v>
      </c>
    </row>
    <row r="883" customFormat="false" ht="13.8" hidden="false" customHeight="false" outlineLevel="0" collapsed="false">
      <c r="A883" s="0" t="s">
        <v>550</v>
      </c>
      <c r="B883" s="0" t="s">
        <v>74</v>
      </c>
    </row>
    <row r="884" customFormat="false" ht="13.8" hidden="false" customHeight="false" outlineLevel="0" collapsed="false">
      <c r="A884" s="0" t="s">
        <v>553</v>
      </c>
      <c r="B884" s="0" t="s">
        <v>74</v>
      </c>
    </row>
    <row r="885" customFormat="false" ht="13.8" hidden="false" customHeight="false" outlineLevel="0" collapsed="false">
      <c r="A885" s="0" t="s">
        <v>558</v>
      </c>
      <c r="B885" s="0" t="s">
        <v>74</v>
      </c>
    </row>
    <row r="886" customFormat="false" ht="13.8" hidden="false" customHeight="false" outlineLevel="0" collapsed="false">
      <c r="A886" s="0" t="s">
        <v>561</v>
      </c>
      <c r="B886" s="0" t="s">
        <v>74</v>
      </c>
    </row>
    <row r="887" customFormat="false" ht="13.8" hidden="false" customHeight="false" outlineLevel="0" collapsed="false">
      <c r="A887" s="0" t="s">
        <v>565</v>
      </c>
      <c r="B887" s="0" t="s">
        <v>74</v>
      </c>
    </row>
    <row r="888" customFormat="false" ht="13.8" hidden="false" customHeight="false" outlineLevel="0" collapsed="false">
      <c r="A888" s="0" t="s">
        <v>566</v>
      </c>
      <c r="B888" s="0" t="s">
        <v>74</v>
      </c>
    </row>
    <row r="889" customFormat="false" ht="13.8" hidden="false" customHeight="false" outlineLevel="0" collapsed="false">
      <c r="A889" s="0" t="s">
        <v>570</v>
      </c>
      <c r="B889" s="0" t="s">
        <v>74</v>
      </c>
    </row>
    <row r="890" customFormat="false" ht="13.8" hidden="false" customHeight="false" outlineLevel="0" collapsed="false">
      <c r="A890" s="0" t="s">
        <v>578</v>
      </c>
      <c r="B890" s="0" t="s">
        <v>74</v>
      </c>
    </row>
    <row r="891" customFormat="false" ht="13.8" hidden="false" customHeight="false" outlineLevel="0" collapsed="false">
      <c r="A891" s="0" t="s">
        <v>583</v>
      </c>
      <c r="B891" s="0" t="s">
        <v>74</v>
      </c>
    </row>
    <row r="892" customFormat="false" ht="13.8" hidden="false" customHeight="false" outlineLevel="0" collapsed="false">
      <c r="A892" s="0" t="s">
        <v>584</v>
      </c>
      <c r="B892" s="0" t="s">
        <v>74</v>
      </c>
    </row>
    <row r="893" customFormat="false" ht="13.8" hidden="false" customHeight="false" outlineLevel="0" collapsed="false">
      <c r="A893" s="0" t="s">
        <v>588</v>
      </c>
      <c r="B893" s="0" t="s">
        <v>74</v>
      </c>
    </row>
    <row r="894" customFormat="false" ht="13.8" hidden="false" customHeight="false" outlineLevel="0" collapsed="false">
      <c r="A894" s="0" t="s">
        <v>593</v>
      </c>
      <c r="B894" s="0" t="s">
        <v>74</v>
      </c>
    </row>
    <row r="895" customFormat="false" ht="13.8" hidden="false" customHeight="false" outlineLevel="0" collapsed="false">
      <c r="A895" s="0" t="s">
        <v>598</v>
      </c>
      <c r="B895" s="0" t="s">
        <v>74</v>
      </c>
    </row>
    <row r="896" customFormat="false" ht="13.8" hidden="false" customHeight="false" outlineLevel="0" collapsed="false">
      <c r="A896" s="0" t="s">
        <v>605</v>
      </c>
      <c r="B896" s="0" t="s">
        <v>74</v>
      </c>
    </row>
    <row r="897" customFormat="false" ht="13.8" hidden="false" customHeight="false" outlineLevel="0" collapsed="false">
      <c r="A897" s="0" t="s">
        <v>608</v>
      </c>
      <c r="B897" s="0" t="s">
        <v>74</v>
      </c>
    </row>
    <row r="898" customFormat="false" ht="13.8" hidden="false" customHeight="false" outlineLevel="0" collapsed="false">
      <c r="A898" s="0" t="s">
        <v>609</v>
      </c>
      <c r="B898" s="0" t="s">
        <v>74</v>
      </c>
    </row>
    <row r="899" customFormat="false" ht="13.8" hidden="false" customHeight="false" outlineLevel="0" collapsed="false">
      <c r="A899" s="0" t="s">
        <v>611</v>
      </c>
      <c r="B899" s="0" t="s">
        <v>74</v>
      </c>
    </row>
    <row r="900" customFormat="false" ht="13.8" hidden="false" customHeight="false" outlineLevel="0" collapsed="false">
      <c r="A900" s="0" t="s">
        <v>612</v>
      </c>
      <c r="B900" s="0" t="s">
        <v>74</v>
      </c>
    </row>
    <row r="901" customFormat="false" ht="13.8" hidden="false" customHeight="false" outlineLevel="0" collapsed="false">
      <c r="A901" s="0" t="s">
        <v>613</v>
      </c>
      <c r="B901" s="0" t="s">
        <v>74</v>
      </c>
    </row>
    <row r="902" customFormat="false" ht="13.8" hidden="false" customHeight="false" outlineLevel="0" collapsed="false">
      <c r="A902" s="0" t="s">
        <v>616</v>
      </c>
      <c r="B902" s="0" t="s">
        <v>74</v>
      </c>
    </row>
    <row r="903" customFormat="false" ht="13.8" hidden="false" customHeight="false" outlineLevel="0" collapsed="false">
      <c r="A903" s="0" t="s">
        <v>617</v>
      </c>
      <c r="B903" s="0" t="s">
        <v>74</v>
      </c>
    </row>
    <row r="904" customFormat="false" ht="13.8" hidden="false" customHeight="false" outlineLevel="0" collapsed="false">
      <c r="A904" s="0" t="s">
        <v>618</v>
      </c>
      <c r="B904" s="0" t="s">
        <v>74</v>
      </c>
    </row>
    <row r="905" customFormat="false" ht="13.8" hidden="false" customHeight="false" outlineLevel="0" collapsed="false">
      <c r="A905" s="0" t="s">
        <v>623</v>
      </c>
      <c r="B905" s="0" t="s">
        <v>74</v>
      </c>
    </row>
    <row r="906" customFormat="false" ht="13.8" hidden="false" customHeight="false" outlineLevel="0" collapsed="false">
      <c r="A906" s="0" t="s">
        <v>631</v>
      </c>
      <c r="B906" s="0" t="s">
        <v>74</v>
      </c>
    </row>
    <row r="907" customFormat="false" ht="13.8" hidden="false" customHeight="false" outlineLevel="0" collapsed="false">
      <c r="A907" s="0" t="s">
        <v>637</v>
      </c>
      <c r="B907" s="0" t="s">
        <v>74</v>
      </c>
    </row>
    <row r="908" customFormat="false" ht="13.8" hidden="false" customHeight="false" outlineLevel="0" collapsed="false">
      <c r="A908" s="0" t="s">
        <v>638</v>
      </c>
      <c r="B908" s="0" t="s">
        <v>74</v>
      </c>
    </row>
    <row r="909" customFormat="false" ht="13.8" hidden="false" customHeight="false" outlineLevel="0" collapsed="false">
      <c r="A909" s="0" t="s">
        <v>644</v>
      </c>
      <c r="B909" s="0" t="s">
        <v>74</v>
      </c>
    </row>
    <row r="910" customFormat="false" ht="13.8" hidden="false" customHeight="false" outlineLevel="0" collapsed="false">
      <c r="A910" s="0" t="s">
        <v>645</v>
      </c>
      <c r="B910" s="0" t="s">
        <v>74</v>
      </c>
    </row>
    <row r="911" customFormat="false" ht="13.8" hidden="false" customHeight="false" outlineLevel="0" collapsed="false">
      <c r="A911" s="0" t="s">
        <v>648</v>
      </c>
      <c r="B911" s="0" t="s">
        <v>74</v>
      </c>
    </row>
    <row r="912" customFormat="false" ht="13.8" hidden="false" customHeight="false" outlineLevel="0" collapsed="false">
      <c r="A912" s="0" t="s">
        <v>651</v>
      </c>
      <c r="B912" s="0" t="s">
        <v>74</v>
      </c>
    </row>
    <row r="913" customFormat="false" ht="13.8" hidden="false" customHeight="false" outlineLevel="0" collapsed="false">
      <c r="A913" s="0" t="s">
        <v>654</v>
      </c>
      <c r="B913" s="0" t="s">
        <v>74</v>
      </c>
    </row>
    <row r="914" customFormat="false" ht="13.8" hidden="false" customHeight="false" outlineLevel="0" collapsed="false">
      <c r="A914" s="0" t="s">
        <v>656</v>
      </c>
      <c r="B914" s="0" t="s">
        <v>74</v>
      </c>
    </row>
    <row r="915" customFormat="false" ht="13.8" hidden="false" customHeight="false" outlineLevel="0" collapsed="false">
      <c r="A915" s="0" t="s">
        <v>659</v>
      </c>
      <c r="B915" s="0" t="s">
        <v>74</v>
      </c>
    </row>
    <row r="916" customFormat="false" ht="13.8" hidden="false" customHeight="false" outlineLevel="0" collapsed="false">
      <c r="A916" s="0" t="s">
        <v>664</v>
      </c>
      <c r="B916" s="0" t="s">
        <v>74</v>
      </c>
    </row>
    <row r="917" customFormat="false" ht="13.8" hidden="false" customHeight="false" outlineLevel="0" collapsed="false">
      <c r="A917" s="0" t="s">
        <v>667</v>
      </c>
      <c r="B917" s="0" t="s">
        <v>74</v>
      </c>
    </row>
    <row r="918" customFormat="false" ht="13.8" hidden="false" customHeight="false" outlineLevel="0" collapsed="false">
      <c r="A918" s="0" t="s">
        <v>672</v>
      </c>
      <c r="B918" s="0" t="s">
        <v>74</v>
      </c>
    </row>
    <row r="919" customFormat="false" ht="13.8" hidden="false" customHeight="false" outlineLevel="0" collapsed="false">
      <c r="A919" s="0" t="s">
        <v>677</v>
      </c>
      <c r="B919" s="0" t="s">
        <v>74</v>
      </c>
    </row>
    <row r="920" customFormat="false" ht="13.8" hidden="false" customHeight="false" outlineLevel="0" collapsed="false">
      <c r="A920" s="0" t="s">
        <v>690</v>
      </c>
      <c r="B920" s="0" t="s">
        <v>74</v>
      </c>
    </row>
    <row r="921" customFormat="false" ht="13.8" hidden="false" customHeight="false" outlineLevel="0" collapsed="false">
      <c r="A921" s="0" t="s">
        <v>695</v>
      </c>
      <c r="B921" s="0" t="s">
        <v>74</v>
      </c>
    </row>
    <row r="922" customFormat="false" ht="13.8" hidden="false" customHeight="false" outlineLevel="0" collapsed="false">
      <c r="A922" s="0" t="s">
        <v>696</v>
      </c>
      <c r="B922" s="0" t="s">
        <v>74</v>
      </c>
    </row>
    <row r="923" customFormat="false" ht="13.8" hidden="false" customHeight="false" outlineLevel="0" collapsed="false">
      <c r="A923" s="0" t="s">
        <v>700</v>
      </c>
      <c r="B923" s="0" t="s">
        <v>74</v>
      </c>
    </row>
    <row r="924" customFormat="false" ht="13.8" hidden="false" customHeight="false" outlineLevel="0" collapsed="false">
      <c r="A924" s="0" t="s">
        <v>709</v>
      </c>
      <c r="B924" s="0" t="s">
        <v>74</v>
      </c>
    </row>
    <row r="925" customFormat="false" ht="13.8" hidden="false" customHeight="false" outlineLevel="0" collapsed="false">
      <c r="A925" s="0" t="s">
        <v>718</v>
      </c>
      <c r="B925" s="0" t="s">
        <v>74</v>
      </c>
    </row>
    <row r="926" customFormat="false" ht="13.8" hidden="false" customHeight="false" outlineLevel="0" collapsed="false">
      <c r="A926" s="0" t="s">
        <v>720</v>
      </c>
      <c r="B926" s="0" t="s">
        <v>74</v>
      </c>
    </row>
    <row r="927" customFormat="false" ht="13.8" hidden="false" customHeight="false" outlineLevel="0" collapsed="false">
      <c r="A927" s="0" t="s">
        <v>725</v>
      </c>
      <c r="B927" s="0" t="s">
        <v>74</v>
      </c>
    </row>
    <row r="928" customFormat="false" ht="13.8" hidden="false" customHeight="false" outlineLevel="0" collapsed="false">
      <c r="A928" s="0" t="s">
        <v>729</v>
      </c>
      <c r="B928" s="0" t="s">
        <v>74</v>
      </c>
    </row>
    <row r="929" customFormat="false" ht="13.8" hidden="false" customHeight="false" outlineLevel="0" collapsed="false">
      <c r="A929" s="0" t="s">
        <v>731</v>
      </c>
      <c r="B929" s="0" t="s">
        <v>74</v>
      </c>
    </row>
    <row r="930" customFormat="false" ht="13.8" hidden="false" customHeight="false" outlineLevel="0" collapsed="false">
      <c r="A930" s="0" t="s">
        <v>738</v>
      </c>
      <c r="B930" s="0" t="s">
        <v>74</v>
      </c>
    </row>
    <row r="931" customFormat="false" ht="13.8" hidden="false" customHeight="false" outlineLevel="0" collapsed="false">
      <c r="A931" s="0" t="s">
        <v>742</v>
      </c>
      <c r="B931" s="0" t="s">
        <v>74</v>
      </c>
    </row>
    <row r="932" customFormat="false" ht="13.8" hidden="false" customHeight="false" outlineLevel="0" collapsed="false">
      <c r="A932" s="0" t="s">
        <v>750</v>
      </c>
      <c r="B932" s="0" t="s">
        <v>74</v>
      </c>
    </row>
    <row r="933" customFormat="false" ht="13.8" hidden="false" customHeight="false" outlineLevel="0" collapsed="false">
      <c r="A933" s="0" t="s">
        <v>752</v>
      </c>
      <c r="B933" s="0" t="s">
        <v>74</v>
      </c>
    </row>
    <row r="934" customFormat="false" ht="13.8" hidden="false" customHeight="false" outlineLevel="0" collapsed="false">
      <c r="A934" s="0" t="s">
        <v>753</v>
      </c>
      <c r="B934" s="0" t="s">
        <v>74</v>
      </c>
    </row>
    <row r="935" customFormat="false" ht="13.8" hidden="false" customHeight="false" outlineLevel="0" collapsed="false">
      <c r="A935" s="0" t="s">
        <v>756</v>
      </c>
      <c r="B935" s="0" t="s">
        <v>74</v>
      </c>
    </row>
    <row r="936" customFormat="false" ht="13.8" hidden="false" customHeight="false" outlineLevel="0" collapsed="false">
      <c r="A936" s="0" t="s">
        <v>761</v>
      </c>
      <c r="B936" s="0" t="s">
        <v>74</v>
      </c>
    </row>
    <row r="937" customFormat="false" ht="13.8" hidden="false" customHeight="false" outlineLevel="0" collapsed="false">
      <c r="A937" s="0" t="s">
        <v>766</v>
      </c>
      <c r="B937" s="0" t="s">
        <v>74</v>
      </c>
    </row>
    <row r="938" customFormat="false" ht="13.8" hidden="false" customHeight="false" outlineLevel="0" collapsed="false">
      <c r="A938" s="0" t="s">
        <v>767</v>
      </c>
      <c r="B938" s="0" t="s">
        <v>74</v>
      </c>
    </row>
    <row r="939" customFormat="false" ht="13.8" hidden="false" customHeight="false" outlineLevel="0" collapsed="false">
      <c r="A939" s="0" t="s">
        <v>772</v>
      </c>
      <c r="B939" s="0" t="s">
        <v>74</v>
      </c>
    </row>
    <row r="940" customFormat="false" ht="13.8" hidden="false" customHeight="false" outlineLevel="0" collapsed="false">
      <c r="A940" s="0" t="s">
        <v>774</v>
      </c>
      <c r="B940" s="0" t="s">
        <v>74</v>
      </c>
    </row>
    <row r="941" customFormat="false" ht="13.8" hidden="false" customHeight="false" outlineLevel="0" collapsed="false">
      <c r="A941" s="0" t="s">
        <v>776</v>
      </c>
      <c r="B941" s="0" t="s">
        <v>74</v>
      </c>
    </row>
    <row r="942" customFormat="false" ht="13.8" hidden="false" customHeight="false" outlineLevel="0" collapsed="false">
      <c r="A942" s="0" t="s">
        <v>780</v>
      </c>
      <c r="B942" s="0" t="s">
        <v>74</v>
      </c>
    </row>
    <row r="943" customFormat="false" ht="13.8" hidden="false" customHeight="false" outlineLevel="0" collapsed="false">
      <c r="A943" s="0" t="s">
        <v>783</v>
      </c>
      <c r="B943" s="0" t="s">
        <v>74</v>
      </c>
    </row>
    <row r="944" customFormat="false" ht="13.8" hidden="false" customHeight="false" outlineLevel="0" collapsed="false">
      <c r="A944" s="0" t="s">
        <v>787</v>
      </c>
      <c r="B944" s="0" t="s">
        <v>74</v>
      </c>
    </row>
    <row r="945" customFormat="false" ht="13.8" hidden="false" customHeight="false" outlineLevel="0" collapsed="false">
      <c r="A945" s="0" t="s">
        <v>791</v>
      </c>
      <c r="B945" s="0" t="s">
        <v>74</v>
      </c>
    </row>
    <row r="946" customFormat="false" ht="13.8" hidden="false" customHeight="false" outlineLevel="0" collapsed="false">
      <c r="A946" s="0" t="s">
        <v>799</v>
      </c>
      <c r="B946" s="0" t="s">
        <v>74</v>
      </c>
    </row>
    <row r="947" customFormat="false" ht="13.8" hidden="false" customHeight="false" outlineLevel="0" collapsed="false">
      <c r="A947" s="0" t="s">
        <v>806</v>
      </c>
      <c r="B947" s="0" t="s">
        <v>74</v>
      </c>
    </row>
    <row r="948" customFormat="false" ht="13.8" hidden="false" customHeight="false" outlineLevel="0" collapsed="false">
      <c r="A948" s="0" t="s">
        <v>808</v>
      </c>
      <c r="B948" s="0" t="s">
        <v>74</v>
      </c>
    </row>
    <row r="949" customFormat="false" ht="13.8" hidden="false" customHeight="false" outlineLevel="0" collapsed="false">
      <c r="A949" s="0" t="s">
        <v>809</v>
      </c>
      <c r="B949" s="0" t="s">
        <v>74</v>
      </c>
    </row>
    <row r="950" customFormat="false" ht="13.8" hidden="false" customHeight="false" outlineLevel="0" collapsed="false">
      <c r="A950" s="0" t="s">
        <v>811</v>
      </c>
      <c r="B950" s="0" t="s">
        <v>74</v>
      </c>
    </row>
    <row r="951" customFormat="false" ht="13.8" hidden="false" customHeight="false" outlineLevel="0" collapsed="false">
      <c r="A951" s="0" t="s">
        <v>830</v>
      </c>
      <c r="B951" s="0" t="s">
        <v>74</v>
      </c>
    </row>
    <row r="952" customFormat="false" ht="13.8" hidden="false" customHeight="false" outlineLevel="0" collapsed="false">
      <c r="A952" s="0" t="s">
        <v>837</v>
      </c>
      <c r="B952" s="0" t="s">
        <v>74</v>
      </c>
    </row>
    <row r="953" customFormat="false" ht="13.8" hidden="false" customHeight="false" outlineLevel="0" collapsed="false">
      <c r="A953" s="0" t="s">
        <v>25</v>
      </c>
      <c r="B953" s="0" t="s">
        <v>74</v>
      </c>
    </row>
    <row r="954" customFormat="false" ht="13.8" hidden="false" customHeight="false" outlineLevel="0" collapsed="false">
      <c r="A954" s="0" t="s">
        <v>842</v>
      </c>
      <c r="B954" s="0" t="s">
        <v>74</v>
      </c>
    </row>
    <row r="955" customFormat="false" ht="13.8" hidden="false" customHeight="false" outlineLevel="0" collapsed="false">
      <c r="A955" s="0" t="s">
        <v>847</v>
      </c>
      <c r="B955" s="0" t="s">
        <v>74</v>
      </c>
    </row>
    <row r="956" customFormat="false" ht="13.8" hidden="false" customHeight="false" outlineLevel="0" collapsed="false">
      <c r="A956" s="0" t="s">
        <v>856</v>
      </c>
      <c r="B956" s="0" t="s">
        <v>74</v>
      </c>
    </row>
    <row r="957" customFormat="false" ht="13.8" hidden="false" customHeight="false" outlineLevel="0" collapsed="false">
      <c r="A957" s="0" t="s">
        <v>859</v>
      </c>
      <c r="B957" s="0" t="s">
        <v>74</v>
      </c>
    </row>
    <row r="958" customFormat="false" ht="13.8" hidden="false" customHeight="false" outlineLevel="0" collapsed="false">
      <c r="A958" s="0" t="s">
        <v>2587</v>
      </c>
      <c r="B958" s="0" t="s">
        <v>74</v>
      </c>
    </row>
    <row r="959" customFormat="false" ht="13.8" hidden="false" customHeight="false" outlineLevel="0" collapsed="false">
      <c r="A959" s="0" t="s">
        <v>860</v>
      </c>
      <c r="B959" s="0" t="s">
        <v>74</v>
      </c>
    </row>
    <row r="960" customFormat="false" ht="13.8" hidden="false" customHeight="false" outlineLevel="0" collapsed="false">
      <c r="A960" s="0" t="s">
        <v>867</v>
      </c>
      <c r="B960" s="0" t="s">
        <v>74</v>
      </c>
    </row>
    <row r="961" customFormat="false" ht="13.8" hidden="false" customHeight="false" outlineLevel="0" collapsed="false">
      <c r="A961" s="0" t="s">
        <v>882</v>
      </c>
      <c r="B961" s="0" t="s">
        <v>74</v>
      </c>
    </row>
    <row r="962" customFormat="false" ht="13.8" hidden="false" customHeight="false" outlineLevel="0" collapsed="false">
      <c r="A962" s="0" t="s">
        <v>884</v>
      </c>
      <c r="B962" s="0" t="s">
        <v>74</v>
      </c>
    </row>
    <row r="963" customFormat="false" ht="13.8" hidden="false" customHeight="false" outlineLevel="0" collapsed="false">
      <c r="A963" s="0" t="s">
        <v>890</v>
      </c>
      <c r="B963" s="0" t="s">
        <v>74</v>
      </c>
    </row>
    <row r="964" customFormat="false" ht="13.8" hidden="false" customHeight="false" outlineLevel="0" collapsed="false">
      <c r="A964" s="0" t="s">
        <v>891</v>
      </c>
      <c r="B964" s="0" t="s">
        <v>74</v>
      </c>
    </row>
    <row r="965" customFormat="false" ht="13.8" hidden="false" customHeight="false" outlineLevel="0" collapsed="false">
      <c r="A965" s="0" t="s">
        <v>892</v>
      </c>
      <c r="B965" s="0" t="s">
        <v>74</v>
      </c>
    </row>
    <row r="966" customFormat="false" ht="13.8" hidden="false" customHeight="false" outlineLevel="0" collapsed="false">
      <c r="A966" s="0" t="s">
        <v>895</v>
      </c>
      <c r="B966" s="0" t="s">
        <v>74</v>
      </c>
    </row>
    <row r="967" customFormat="false" ht="13.8" hidden="false" customHeight="false" outlineLevel="0" collapsed="false">
      <c r="A967" s="0" t="s">
        <v>897</v>
      </c>
      <c r="B967" s="0" t="s">
        <v>74</v>
      </c>
    </row>
    <row r="968" customFormat="false" ht="13.8" hidden="false" customHeight="false" outlineLevel="0" collapsed="false">
      <c r="A968" s="0" t="s">
        <v>899</v>
      </c>
      <c r="B968" s="0" t="s">
        <v>74</v>
      </c>
    </row>
    <row r="969" customFormat="false" ht="13.8" hidden="false" customHeight="false" outlineLevel="0" collapsed="false">
      <c r="A969" s="0" t="s">
        <v>900</v>
      </c>
      <c r="B969" s="0" t="s">
        <v>74</v>
      </c>
    </row>
    <row r="970" customFormat="false" ht="13.8" hidden="false" customHeight="false" outlineLevel="0" collapsed="false">
      <c r="A970" s="0" t="s">
        <v>907</v>
      </c>
      <c r="B970" s="0" t="s">
        <v>74</v>
      </c>
    </row>
    <row r="971" customFormat="false" ht="13.8" hidden="false" customHeight="false" outlineLevel="0" collapsed="false">
      <c r="A971" s="0" t="s">
        <v>911</v>
      </c>
      <c r="B971" s="0" t="s">
        <v>74</v>
      </c>
    </row>
    <row r="972" customFormat="false" ht="13.8" hidden="false" customHeight="false" outlineLevel="0" collapsed="false">
      <c r="A972" s="0" t="s">
        <v>915</v>
      </c>
      <c r="B972" s="0" t="s">
        <v>74</v>
      </c>
    </row>
    <row r="973" customFormat="false" ht="13.8" hidden="false" customHeight="false" outlineLevel="0" collapsed="false">
      <c r="A973" s="0" t="s">
        <v>917</v>
      </c>
      <c r="B973" s="0" t="s">
        <v>74</v>
      </c>
    </row>
    <row r="974" customFormat="false" ht="13.8" hidden="false" customHeight="false" outlineLevel="0" collapsed="false">
      <c r="A974" s="0" t="s">
        <v>922</v>
      </c>
      <c r="B974" s="0" t="s">
        <v>74</v>
      </c>
    </row>
    <row r="975" customFormat="false" ht="13.8" hidden="false" customHeight="false" outlineLevel="0" collapsed="false">
      <c r="A975" s="0" t="s">
        <v>933</v>
      </c>
      <c r="B975" s="0" t="s">
        <v>74</v>
      </c>
    </row>
    <row r="976" customFormat="false" ht="13.8" hidden="false" customHeight="false" outlineLevel="0" collapsed="false">
      <c r="A976" s="0" t="s">
        <v>939</v>
      </c>
      <c r="B976" s="0" t="s">
        <v>74</v>
      </c>
    </row>
    <row r="977" customFormat="false" ht="13.8" hidden="false" customHeight="false" outlineLevel="0" collapsed="false">
      <c r="A977" s="0" t="s">
        <v>943</v>
      </c>
      <c r="B977" s="0" t="s">
        <v>74</v>
      </c>
    </row>
    <row r="978" customFormat="false" ht="13.8" hidden="false" customHeight="false" outlineLevel="0" collapsed="false">
      <c r="A978" s="0" t="s">
        <v>946</v>
      </c>
      <c r="B978" s="0" t="s">
        <v>74</v>
      </c>
    </row>
    <row r="979" customFormat="false" ht="13.8" hidden="false" customHeight="false" outlineLevel="0" collapsed="false">
      <c r="A979" s="0" t="s">
        <v>950</v>
      </c>
      <c r="B979" s="0" t="s">
        <v>74</v>
      </c>
    </row>
    <row r="980" customFormat="false" ht="13.8" hidden="false" customHeight="false" outlineLevel="0" collapsed="false">
      <c r="A980" s="0" t="s">
        <v>954</v>
      </c>
      <c r="B980" s="0" t="s">
        <v>74</v>
      </c>
    </row>
    <row r="981" customFormat="false" ht="13.8" hidden="false" customHeight="false" outlineLevel="0" collapsed="false">
      <c r="A981" s="0" t="s">
        <v>957</v>
      </c>
      <c r="B981" s="0" t="s">
        <v>74</v>
      </c>
    </row>
    <row r="982" customFormat="false" ht="13.8" hidden="false" customHeight="false" outlineLevel="0" collapsed="false">
      <c r="A982" s="0" t="s">
        <v>958</v>
      </c>
      <c r="B982" s="0" t="s">
        <v>74</v>
      </c>
    </row>
    <row r="983" customFormat="false" ht="13.8" hidden="false" customHeight="false" outlineLevel="0" collapsed="false">
      <c r="A983" s="0" t="s">
        <v>959</v>
      </c>
      <c r="B983" s="0" t="s">
        <v>74</v>
      </c>
    </row>
    <row r="984" customFormat="false" ht="13.8" hidden="false" customHeight="false" outlineLevel="0" collapsed="false">
      <c r="A984" s="0" t="s">
        <v>972</v>
      </c>
      <c r="B984" s="0" t="s">
        <v>74</v>
      </c>
    </row>
    <row r="985" customFormat="false" ht="13.8" hidden="false" customHeight="false" outlineLevel="0" collapsed="false">
      <c r="A985" s="0" t="s">
        <v>974</v>
      </c>
      <c r="B985" s="0" t="s">
        <v>74</v>
      </c>
    </row>
    <row r="986" customFormat="false" ht="13.8" hidden="false" customHeight="false" outlineLevel="0" collapsed="false">
      <c r="A986" s="0" t="s">
        <v>976</v>
      </c>
      <c r="B986" s="0" t="s">
        <v>74</v>
      </c>
    </row>
    <row r="987" customFormat="false" ht="13.8" hidden="false" customHeight="false" outlineLevel="0" collapsed="false">
      <c r="A987" s="0" t="s">
        <v>979</v>
      </c>
      <c r="B987" s="0" t="s">
        <v>74</v>
      </c>
    </row>
    <row r="988" customFormat="false" ht="13.8" hidden="false" customHeight="false" outlineLevel="0" collapsed="false">
      <c r="A988" s="0" t="s">
        <v>981</v>
      </c>
      <c r="B988" s="0" t="s">
        <v>74</v>
      </c>
    </row>
    <row r="989" customFormat="false" ht="13.8" hidden="false" customHeight="false" outlineLevel="0" collapsed="false">
      <c r="A989" s="0" t="s">
        <v>985</v>
      </c>
      <c r="B989" s="0" t="s">
        <v>74</v>
      </c>
    </row>
    <row r="990" customFormat="false" ht="13.8" hidden="false" customHeight="false" outlineLevel="0" collapsed="false">
      <c r="A990" s="0" t="s">
        <v>998</v>
      </c>
      <c r="B990" s="0" t="s">
        <v>74</v>
      </c>
    </row>
    <row r="991" customFormat="false" ht="13.8" hidden="false" customHeight="false" outlineLevel="0" collapsed="false">
      <c r="A991" s="0" t="s">
        <v>1002</v>
      </c>
      <c r="B991" s="0" t="s">
        <v>74</v>
      </c>
    </row>
    <row r="992" customFormat="false" ht="13.8" hidden="false" customHeight="false" outlineLevel="0" collapsed="false">
      <c r="A992" s="0" t="s">
        <v>1005</v>
      </c>
      <c r="B992" s="0" t="s">
        <v>74</v>
      </c>
    </row>
    <row r="993" customFormat="false" ht="13.8" hidden="false" customHeight="false" outlineLevel="0" collapsed="false">
      <c r="A993" s="0" t="s">
        <v>1018</v>
      </c>
      <c r="B993" s="0" t="s">
        <v>74</v>
      </c>
    </row>
    <row r="994" customFormat="false" ht="13.8" hidden="false" customHeight="false" outlineLevel="0" collapsed="false">
      <c r="A994" s="0" t="s">
        <v>1019</v>
      </c>
      <c r="B994" s="0" t="s">
        <v>74</v>
      </c>
    </row>
    <row r="995" customFormat="false" ht="13.8" hidden="false" customHeight="false" outlineLevel="0" collapsed="false">
      <c r="A995" s="0" t="s">
        <v>1023</v>
      </c>
      <c r="B995" s="0" t="s">
        <v>74</v>
      </c>
    </row>
    <row r="996" customFormat="false" ht="13.8" hidden="false" customHeight="false" outlineLevel="0" collapsed="false">
      <c r="A996" s="0" t="s">
        <v>1026</v>
      </c>
      <c r="B996" s="0" t="s">
        <v>74</v>
      </c>
    </row>
    <row r="997" customFormat="false" ht="13.8" hidden="false" customHeight="false" outlineLevel="0" collapsed="false">
      <c r="A997" s="0" t="s">
        <v>1030</v>
      </c>
      <c r="B997" s="0" t="s">
        <v>74</v>
      </c>
    </row>
    <row r="998" customFormat="false" ht="13.8" hidden="false" customHeight="false" outlineLevel="0" collapsed="false">
      <c r="A998" s="0" t="s">
        <v>1031</v>
      </c>
      <c r="B998" s="0" t="s">
        <v>74</v>
      </c>
    </row>
    <row r="999" customFormat="false" ht="13.8" hidden="false" customHeight="false" outlineLevel="0" collapsed="false">
      <c r="A999" s="0" t="s">
        <v>1038</v>
      </c>
      <c r="B999" s="0" t="s">
        <v>74</v>
      </c>
    </row>
    <row r="1000" customFormat="false" ht="13.8" hidden="false" customHeight="false" outlineLevel="0" collapsed="false">
      <c r="A1000" s="0" t="s">
        <v>1040</v>
      </c>
      <c r="B1000" s="0" t="s">
        <v>74</v>
      </c>
    </row>
    <row r="1001" customFormat="false" ht="13.8" hidden="false" customHeight="false" outlineLevel="0" collapsed="false">
      <c r="A1001" s="0" t="s">
        <v>1047</v>
      </c>
      <c r="B1001" s="0" t="s">
        <v>74</v>
      </c>
    </row>
    <row r="1002" customFormat="false" ht="13.8" hidden="false" customHeight="false" outlineLevel="0" collapsed="false">
      <c r="A1002" s="0" t="s">
        <v>1048</v>
      </c>
      <c r="B1002" s="0" t="s">
        <v>74</v>
      </c>
    </row>
    <row r="1003" customFormat="false" ht="13.8" hidden="false" customHeight="false" outlineLevel="0" collapsed="false">
      <c r="A1003" s="0" t="s">
        <v>1056</v>
      </c>
      <c r="B1003" s="0" t="s">
        <v>74</v>
      </c>
    </row>
    <row r="1004" customFormat="false" ht="13.8" hidden="false" customHeight="false" outlineLevel="0" collapsed="false">
      <c r="A1004" s="0" t="s">
        <v>1062</v>
      </c>
      <c r="B1004" s="0" t="s">
        <v>74</v>
      </c>
    </row>
    <row r="1005" customFormat="false" ht="13.8" hidden="false" customHeight="false" outlineLevel="0" collapsed="false">
      <c r="A1005" s="0" t="s">
        <v>1064</v>
      </c>
      <c r="B1005" s="0" t="s">
        <v>74</v>
      </c>
    </row>
    <row r="1006" customFormat="false" ht="13.8" hidden="false" customHeight="false" outlineLevel="0" collapsed="false">
      <c r="A1006" s="0" t="s">
        <v>1070</v>
      </c>
      <c r="B1006" s="0" t="s">
        <v>74</v>
      </c>
    </row>
    <row r="1007" customFormat="false" ht="13.8" hidden="false" customHeight="false" outlineLevel="0" collapsed="false">
      <c r="A1007" s="0" t="s">
        <v>1073</v>
      </c>
      <c r="B1007" s="0" t="s">
        <v>74</v>
      </c>
    </row>
    <row r="1008" customFormat="false" ht="13.8" hidden="false" customHeight="false" outlineLevel="0" collapsed="false">
      <c r="A1008" s="0" t="s">
        <v>1078</v>
      </c>
      <c r="B1008" s="0" t="s">
        <v>74</v>
      </c>
    </row>
    <row r="1009" customFormat="false" ht="13.8" hidden="false" customHeight="false" outlineLevel="0" collapsed="false">
      <c r="A1009" s="0" t="s">
        <v>1079</v>
      </c>
      <c r="B1009" s="0" t="s">
        <v>74</v>
      </c>
    </row>
    <row r="1010" customFormat="false" ht="13.8" hidden="false" customHeight="false" outlineLevel="0" collapsed="false">
      <c r="A1010" s="0" t="s">
        <v>1085</v>
      </c>
      <c r="B1010" s="0" t="s">
        <v>74</v>
      </c>
    </row>
    <row r="1011" customFormat="false" ht="13.8" hidden="false" customHeight="false" outlineLevel="0" collapsed="false">
      <c r="A1011" s="0" t="s">
        <v>1086</v>
      </c>
      <c r="B1011" s="0" t="s">
        <v>74</v>
      </c>
    </row>
    <row r="1012" customFormat="false" ht="13.8" hidden="false" customHeight="false" outlineLevel="0" collapsed="false">
      <c r="A1012" s="0" t="s">
        <v>1087</v>
      </c>
      <c r="B1012" s="0" t="s">
        <v>74</v>
      </c>
    </row>
    <row r="1013" customFormat="false" ht="13.8" hidden="false" customHeight="false" outlineLevel="0" collapsed="false">
      <c r="A1013" s="0" t="s">
        <v>1092</v>
      </c>
      <c r="B1013" s="0" t="s">
        <v>74</v>
      </c>
    </row>
    <row r="1014" customFormat="false" ht="13.8" hidden="false" customHeight="false" outlineLevel="0" collapsed="false">
      <c r="A1014" s="0" t="s">
        <v>1101</v>
      </c>
      <c r="B1014" s="0" t="s">
        <v>74</v>
      </c>
    </row>
    <row r="1015" customFormat="false" ht="13.8" hidden="false" customHeight="false" outlineLevel="0" collapsed="false">
      <c r="A1015" s="0" t="s">
        <v>1108</v>
      </c>
      <c r="B1015" s="0" t="s">
        <v>74</v>
      </c>
    </row>
    <row r="1016" customFormat="false" ht="13.8" hidden="false" customHeight="false" outlineLevel="0" collapsed="false">
      <c r="A1016" s="0" t="s">
        <v>1116</v>
      </c>
      <c r="B1016" s="0" t="s">
        <v>74</v>
      </c>
    </row>
    <row r="1017" customFormat="false" ht="13.8" hidden="false" customHeight="false" outlineLevel="0" collapsed="false">
      <c r="A1017" s="0" t="s">
        <v>986</v>
      </c>
      <c r="B1017" s="0" t="s">
        <v>74</v>
      </c>
    </row>
    <row r="1018" customFormat="false" ht="13.8" hidden="false" customHeight="false" outlineLevel="0" collapsed="false">
      <c r="A1018" s="0" t="s">
        <v>823</v>
      </c>
      <c r="B1018" s="0" t="s">
        <v>74</v>
      </c>
    </row>
    <row r="1019" customFormat="false" ht="13.8" hidden="false" customHeight="false" outlineLevel="0" collapsed="false">
      <c r="A1019" s="0" t="s">
        <v>963</v>
      </c>
      <c r="B1019" s="0" t="s">
        <v>74</v>
      </c>
    </row>
    <row r="1020" customFormat="false" ht="13.8" hidden="false" customHeight="false" outlineLevel="0" collapsed="false">
      <c r="A1020" s="0" t="s">
        <v>1063</v>
      </c>
      <c r="B1020" s="0" t="s">
        <v>74</v>
      </c>
    </row>
    <row r="1021" customFormat="false" ht="13.8" hidden="false" customHeight="false" outlineLevel="0" collapsed="false">
      <c r="A1021" s="0" t="s">
        <v>983</v>
      </c>
      <c r="B1021" s="0" t="s">
        <v>74</v>
      </c>
    </row>
    <row r="1022" customFormat="false" ht="13.8" hidden="false" customHeight="false" outlineLevel="0" collapsed="false">
      <c r="A1022" s="0" t="s">
        <v>967</v>
      </c>
      <c r="B1022" s="0" t="s">
        <v>74</v>
      </c>
    </row>
    <row r="1023" customFormat="false" ht="13.8" hidden="false" customHeight="false" outlineLevel="0" collapsed="false">
      <c r="A1023" s="0" t="s">
        <v>924</v>
      </c>
      <c r="B1023" s="0" t="s">
        <v>74</v>
      </c>
    </row>
    <row r="1024" customFormat="false" ht="13.8" hidden="false" customHeight="false" outlineLevel="0" collapsed="false">
      <c r="A1024" s="0" t="s">
        <v>732</v>
      </c>
      <c r="B1024" s="0" t="s">
        <v>74</v>
      </c>
    </row>
    <row r="1025" customFormat="false" ht="13.8" hidden="false" customHeight="false" outlineLevel="0" collapsed="false">
      <c r="A1025" s="0" t="s">
        <v>794</v>
      </c>
      <c r="B1025" s="0" t="s">
        <v>74</v>
      </c>
    </row>
    <row r="1026" customFormat="false" ht="13.8" hidden="false" customHeight="false" outlineLevel="0" collapsed="false">
      <c r="A1026" s="0" t="s">
        <v>727</v>
      </c>
      <c r="B1026" s="0" t="s">
        <v>74</v>
      </c>
    </row>
    <row r="1027" customFormat="false" ht="13.8" hidden="false" customHeight="false" outlineLevel="0" collapsed="false">
      <c r="A1027" s="0" t="s">
        <v>686</v>
      </c>
      <c r="B1027" s="0" t="s">
        <v>74</v>
      </c>
    </row>
    <row r="1028" customFormat="false" ht="13.8" hidden="false" customHeight="false" outlineLevel="0" collapsed="false">
      <c r="A1028" s="0" t="s">
        <v>495</v>
      </c>
      <c r="B1028" s="0" t="s">
        <v>74</v>
      </c>
    </row>
    <row r="1029" customFormat="false" ht="13.8" hidden="false" customHeight="false" outlineLevel="0" collapsed="false">
      <c r="A1029" s="0" t="s">
        <v>1011</v>
      </c>
      <c r="B1029" s="0" t="s">
        <v>74</v>
      </c>
    </row>
    <row r="1030" customFormat="false" ht="13.8" hidden="false" customHeight="false" outlineLevel="0" collapsed="false">
      <c r="A1030" s="0" t="s">
        <v>679</v>
      </c>
      <c r="B1030" s="0" t="s">
        <v>74</v>
      </c>
    </row>
    <row r="1031" customFormat="false" ht="13.8" hidden="false" customHeight="false" outlineLevel="0" collapsed="false">
      <c r="A1031" s="0" t="s">
        <v>901</v>
      </c>
      <c r="B1031" s="0" t="s">
        <v>74</v>
      </c>
    </row>
    <row r="1032" customFormat="false" ht="13.8" hidden="false" customHeight="false" outlineLevel="0" collapsed="false">
      <c r="A1032" s="0" t="s">
        <v>600</v>
      </c>
      <c r="B1032" s="0" t="s">
        <v>74</v>
      </c>
    </row>
    <row r="1033" customFormat="false" ht="13.8" hidden="false" customHeight="false" outlineLevel="0" collapsed="false">
      <c r="A1033" s="0" t="s">
        <v>918</v>
      </c>
      <c r="B1033" s="0" t="s">
        <v>74</v>
      </c>
    </row>
    <row r="1034" customFormat="false" ht="13.8" hidden="false" customHeight="false" outlineLevel="0" collapsed="false">
      <c r="A1034" s="0" t="s">
        <v>703</v>
      </c>
      <c r="B1034" s="0" t="s">
        <v>74</v>
      </c>
    </row>
    <row r="1035" customFormat="false" ht="13.8" hidden="false" customHeight="false" outlineLevel="0" collapsed="false">
      <c r="A1035" s="0" t="s">
        <v>1036</v>
      </c>
      <c r="B1035" s="0" t="s">
        <v>74</v>
      </c>
    </row>
    <row r="1036" customFormat="false" ht="13.8" hidden="false" customHeight="false" outlineLevel="0" collapsed="false">
      <c r="A1036" s="0" t="s">
        <v>730</v>
      </c>
      <c r="B1036" s="0" t="s">
        <v>74</v>
      </c>
    </row>
    <row r="1037" customFormat="false" ht="13.8" hidden="false" customHeight="false" outlineLevel="0" collapsed="false">
      <c r="A1037" s="0" t="s">
        <v>628</v>
      </c>
      <c r="B1037" s="0" t="s">
        <v>74</v>
      </c>
    </row>
    <row r="1038" customFormat="false" ht="13.8" hidden="false" customHeight="false" outlineLevel="0" collapsed="false">
      <c r="A1038" s="0" t="s">
        <v>746</v>
      </c>
      <c r="B1038" s="0" t="s">
        <v>74</v>
      </c>
    </row>
    <row r="1039" customFormat="false" ht="13.8" hidden="false" customHeight="false" outlineLevel="0" collapsed="false">
      <c r="A1039" s="0" t="s">
        <v>2583</v>
      </c>
      <c r="B1039" s="0" t="s">
        <v>619</v>
      </c>
    </row>
    <row r="1040" customFormat="false" ht="13.8" hidden="false" customHeight="false" outlineLevel="0" collapsed="false">
      <c r="A1040" s="0" t="s">
        <v>2445</v>
      </c>
      <c r="B1040" s="0" t="s">
        <v>325</v>
      </c>
    </row>
    <row r="1041" customFormat="false" ht="13.8" hidden="false" customHeight="false" outlineLevel="0" collapsed="false">
      <c r="A1041" s="0" t="s">
        <v>2454</v>
      </c>
      <c r="B1041" s="0" t="s">
        <v>325</v>
      </c>
    </row>
    <row r="1042" customFormat="false" ht="13.8" hidden="false" customHeight="false" outlineLevel="0" collapsed="false">
      <c r="A1042" s="0" t="s">
        <v>2461</v>
      </c>
      <c r="B1042" s="0" t="s">
        <v>325</v>
      </c>
    </row>
    <row r="1043" customFormat="false" ht="13.8" hidden="false" customHeight="false" outlineLevel="0" collapsed="false">
      <c r="A1043" s="0" t="s">
        <v>2468</v>
      </c>
      <c r="B1043" s="0" t="s">
        <v>325</v>
      </c>
    </row>
    <row r="1044" customFormat="false" ht="13.8" hidden="false" customHeight="false" outlineLevel="0" collapsed="false">
      <c r="A1044" s="0" t="s">
        <v>326</v>
      </c>
      <c r="B1044" s="0" t="s">
        <v>325</v>
      </c>
    </row>
    <row r="1045" customFormat="false" ht="13.8" hidden="false" customHeight="false" outlineLevel="0" collapsed="false">
      <c r="A1045" s="0" t="s">
        <v>2480</v>
      </c>
      <c r="B1045" s="0" t="s">
        <v>325</v>
      </c>
    </row>
    <row r="1046" customFormat="false" ht="13.8" hidden="false" customHeight="false" outlineLevel="0" collapsed="false">
      <c r="A1046" s="0" t="s">
        <v>2487</v>
      </c>
      <c r="B1046" s="0" t="s">
        <v>325</v>
      </c>
    </row>
    <row r="1047" customFormat="false" ht="13.8" hidden="false" customHeight="false" outlineLevel="0" collapsed="false">
      <c r="A1047" s="0" t="s">
        <v>2490</v>
      </c>
      <c r="B1047" s="0" t="s">
        <v>325</v>
      </c>
    </row>
    <row r="1048" customFormat="false" ht="13.8" hidden="false" customHeight="false" outlineLevel="0" collapsed="false">
      <c r="A1048" s="0" t="s">
        <v>2493</v>
      </c>
      <c r="B1048" s="0" t="s">
        <v>325</v>
      </c>
    </row>
    <row r="1049" customFormat="false" ht="13.8" hidden="false" customHeight="false" outlineLevel="0" collapsed="false">
      <c r="A1049" s="0" t="s">
        <v>2505</v>
      </c>
      <c r="B1049" s="0" t="s">
        <v>325</v>
      </c>
    </row>
    <row r="1050" customFormat="false" ht="13.8" hidden="false" customHeight="false" outlineLevel="0" collapsed="false">
      <c r="A1050" s="0" t="s">
        <v>2512</v>
      </c>
      <c r="B1050" s="0" t="s">
        <v>325</v>
      </c>
    </row>
    <row r="1051" customFormat="false" ht="13.8" hidden="false" customHeight="false" outlineLevel="0" collapsed="false">
      <c r="A1051" s="0" t="s">
        <v>2529</v>
      </c>
      <c r="B1051" s="0" t="s">
        <v>325</v>
      </c>
    </row>
    <row r="1052" customFormat="false" ht="13.8" hidden="false" customHeight="false" outlineLevel="0" collapsed="false">
      <c r="A1052" s="0" t="s">
        <v>2536</v>
      </c>
      <c r="B1052" s="0" t="s">
        <v>325</v>
      </c>
    </row>
    <row r="1053" customFormat="false" ht="13.8" hidden="false" customHeight="false" outlineLevel="0" collapsed="false">
      <c r="A1053" s="0" t="s">
        <v>2542</v>
      </c>
      <c r="B1053" s="0" t="s">
        <v>325</v>
      </c>
    </row>
    <row r="1054" customFormat="false" ht="13.8" hidden="false" customHeight="false" outlineLevel="0" collapsed="false">
      <c r="A1054" s="0" t="s">
        <v>2547</v>
      </c>
      <c r="B1054" s="0" t="s">
        <v>325</v>
      </c>
    </row>
    <row r="1055" customFormat="false" ht="13.8" hidden="false" customHeight="false" outlineLevel="0" collapsed="false">
      <c r="A1055" s="0" t="s">
        <v>2552</v>
      </c>
      <c r="B1055" s="0" t="s">
        <v>325</v>
      </c>
    </row>
    <row r="1056" customFormat="false" ht="13.8" hidden="false" customHeight="false" outlineLevel="0" collapsed="false">
      <c r="A1056" s="0" t="s">
        <v>2555</v>
      </c>
      <c r="B1056" s="0" t="s">
        <v>325</v>
      </c>
    </row>
    <row r="1057" customFormat="false" ht="13.8" hidden="false" customHeight="false" outlineLevel="0" collapsed="false">
      <c r="A1057" s="0" t="s">
        <v>2519</v>
      </c>
      <c r="B1057" s="0" t="s">
        <v>325</v>
      </c>
    </row>
    <row r="1058" customFormat="false" ht="13.8" hidden="false" customHeight="false" outlineLevel="0" collapsed="false">
      <c r="A1058" s="0" t="s">
        <v>2497</v>
      </c>
      <c r="B1058" s="0" t="s">
        <v>325</v>
      </c>
    </row>
    <row r="1059" customFormat="false" ht="13.8" hidden="false" customHeight="false" outlineLevel="0" collapsed="false">
      <c r="A1059" s="0" t="s">
        <v>2452</v>
      </c>
      <c r="B1059" s="0" t="s">
        <v>325</v>
      </c>
    </row>
    <row r="1060" customFormat="false" ht="13.8" hidden="false" customHeight="false" outlineLevel="0" collapsed="false">
      <c r="A1060" s="0" t="s">
        <v>358</v>
      </c>
      <c r="B1060" s="0" t="s">
        <v>357</v>
      </c>
    </row>
    <row r="1061" customFormat="false" ht="13.8" hidden="false" customHeight="false" outlineLevel="0" collapsed="false">
      <c r="A1061" s="0" t="s">
        <v>2562</v>
      </c>
      <c r="B1061" s="0" t="s">
        <v>325</v>
      </c>
    </row>
    <row r="1062" customFormat="false" ht="13.8" hidden="false" customHeight="false" outlineLevel="0" collapsed="false">
      <c r="A1062" s="0" t="s">
        <v>2588</v>
      </c>
      <c r="B1062" s="0" t="s">
        <v>74</v>
      </c>
    </row>
    <row r="1063" customFormat="false" ht="13.8" hidden="false" customHeight="false" outlineLevel="0" collapsed="false">
      <c r="A1063" s="0" t="s">
        <v>2276</v>
      </c>
      <c r="B1063" s="0" t="s">
        <v>2123</v>
      </c>
    </row>
    <row r="1064" customFormat="false" ht="13.8" hidden="false" customHeight="false" outlineLevel="0" collapsed="false">
      <c r="A1064" s="0" t="s">
        <v>1938</v>
      </c>
      <c r="B1064" s="0" t="s">
        <v>114</v>
      </c>
    </row>
    <row r="1065" customFormat="false" ht="13.8" hidden="false" customHeight="false" outlineLevel="0" collapsed="false">
      <c r="A1065" s="0" t="s">
        <v>989</v>
      </c>
      <c r="B1065" s="0" t="s">
        <v>74</v>
      </c>
    </row>
    <row r="1066" customFormat="false" ht="13.8" hidden="false" customHeight="false" outlineLevel="0" collapsed="false">
      <c r="A1066" s="0" t="s">
        <v>2367</v>
      </c>
      <c r="B1066" s="0" t="s">
        <v>242</v>
      </c>
    </row>
    <row r="1067" customFormat="false" ht="13.8" hidden="false" customHeight="false" outlineLevel="0" collapsed="false">
      <c r="A1067" s="0" t="s">
        <v>2360</v>
      </c>
      <c r="B1067" s="0" t="s">
        <v>242</v>
      </c>
    </row>
    <row r="1068" customFormat="false" ht="13.8" hidden="false" customHeight="false" outlineLevel="0" collapsed="false">
      <c r="A1068" s="0" t="s">
        <v>442</v>
      </c>
      <c r="B1068" s="0" t="s">
        <v>444</v>
      </c>
    </row>
    <row r="1069" customFormat="false" ht="13.8" hidden="false" customHeight="false" outlineLevel="0" collapsed="false">
      <c r="A1069" s="0" t="s">
        <v>1653</v>
      </c>
      <c r="B1069" s="0" t="s">
        <v>394</v>
      </c>
    </row>
    <row r="1070" customFormat="false" ht="13.8" hidden="false" customHeight="false" outlineLevel="0" collapsed="false">
      <c r="A1070" s="0" t="s">
        <v>1006</v>
      </c>
      <c r="B1070" s="0" t="s">
        <v>74</v>
      </c>
    </row>
    <row r="1071" customFormat="false" ht="13.8" hidden="false" customHeight="false" outlineLevel="0" collapsed="false">
      <c r="A1071" s="0" t="s">
        <v>1097</v>
      </c>
      <c r="B1071" s="0" t="s">
        <v>74</v>
      </c>
    </row>
    <row r="1072" customFormat="false" ht="13.8" hidden="false" customHeight="false" outlineLevel="0" collapsed="false">
      <c r="A1072" s="0" t="s">
        <v>1106</v>
      </c>
      <c r="B1072" s="0" t="s">
        <v>74</v>
      </c>
    </row>
    <row r="1073" customFormat="false" ht="13.8" hidden="false" customHeight="false" outlineLevel="0" collapsed="false">
      <c r="A1073" s="0" t="s">
        <v>1402</v>
      </c>
      <c r="B1073" s="0" t="s">
        <v>121</v>
      </c>
    </row>
    <row r="1074" customFormat="false" ht="13.8" hidden="false" customHeight="false" outlineLevel="0" collapsed="false">
      <c r="A1074" s="0" t="s">
        <v>1719</v>
      </c>
      <c r="B1074" s="0" t="s">
        <v>394</v>
      </c>
    </row>
    <row r="1075" customFormat="false" ht="13.8" hidden="false" customHeight="false" outlineLevel="0" collapsed="false">
      <c r="A1075" s="0" t="s">
        <v>2259</v>
      </c>
      <c r="B1075" s="0" t="s">
        <v>2123</v>
      </c>
    </row>
    <row r="1076" customFormat="false" ht="13.8" hidden="false" customHeight="false" outlineLevel="0" collapsed="false">
      <c r="A1076" s="0" t="s">
        <v>2526</v>
      </c>
      <c r="B1076" s="0" t="s">
        <v>325</v>
      </c>
    </row>
    <row r="1077" customFormat="false" ht="13.8" hidden="false" customHeight="false" outlineLevel="0" collapsed="false">
      <c r="A1077" s="0" t="s">
        <v>2443</v>
      </c>
      <c r="B1077" s="0" t="s">
        <v>242</v>
      </c>
    </row>
    <row r="1078" customFormat="false" ht="13.8" hidden="false" customHeight="false" outlineLevel="0" collapsed="false">
      <c r="A1078" s="0" t="s">
        <v>2103</v>
      </c>
      <c r="B1078" s="0" t="s">
        <v>114</v>
      </c>
    </row>
    <row r="1079" customFormat="false" ht="13.8" hidden="false" customHeight="false" outlineLevel="0" collapsed="false">
      <c r="A1079" s="0" t="s">
        <v>2106</v>
      </c>
      <c r="B1079" s="0" t="s">
        <v>114</v>
      </c>
    </row>
    <row r="1080" customFormat="false" ht="13.8" hidden="false" customHeight="false" outlineLevel="0" collapsed="false">
      <c r="A1080" s="0" t="s">
        <v>2111</v>
      </c>
      <c r="B1080" s="0" t="s">
        <v>114</v>
      </c>
    </row>
    <row r="1081" customFormat="false" ht="13.8" hidden="false" customHeight="false" outlineLevel="0" collapsed="false">
      <c r="A1081" s="0" t="s">
        <v>2115</v>
      </c>
      <c r="B1081" s="0" t="s">
        <v>114</v>
      </c>
    </row>
    <row r="1082" customFormat="false" ht="13.8" hidden="false" customHeight="false" outlineLevel="0" collapsed="false"/>
    <row r="1083" customFormat="false" ht="14.4" hidden="false" customHeight="false" outlineLevel="0" collapsed="false">
      <c r="A1083" s="144" t="s">
        <v>2589</v>
      </c>
    </row>
    <row r="1084" customFormat="false" ht="14.4" hidden="false" customHeight="false" outlineLevel="0" collapsed="false">
      <c r="A1084" s="0" t="s">
        <v>262</v>
      </c>
    </row>
    <row r="1085" customFormat="false" ht="14.4" hidden="false" customHeight="false" outlineLevel="0" collapsed="false">
      <c r="A1085" s="0" t="s">
        <v>98</v>
      </c>
    </row>
    <row r="1086" customFormat="false" ht="14.4" hidden="false" customHeight="false" outlineLevel="0" collapsed="false">
      <c r="A1086" s="0" t="s">
        <v>99</v>
      </c>
    </row>
  </sheetData>
  <hyperlinks>
    <hyperlink ref="AK459" r:id="rId1" display="When paired with Souryuu in the same fleet, increase own Air Power by 15% (35%)."/>
    <hyperlink ref="AK460" r:id="rId2" display="When paired with Souryuu in the same fleet, increase own Air Power by 15% (35%)."/>
    <hyperlink ref="AK476" r:id="rId3" display="When paired with Hiryuu in the same fleet, increase own Air Power by 15% (35%)."/>
    <hyperlink ref="AK477" r:id="rId4" display="When paired with Hiryuu in the same fleet, increase own Air Power by 15% (35%)."/>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27"/>
  <sheetViews>
    <sheetView showFormulas="false" showGridLines="true" showRowColHeaders="true" showZeros="true" rightToLeft="false" tabSelected="false" showOutlineSymbols="true" defaultGridColor="true" view="normal" topLeftCell="X307" colorId="64" zoomScale="80" zoomScaleNormal="80" zoomScalePageLayoutView="100" workbookViewId="0">
      <selection pane="topLeft" activeCell="G318" activeCellId="0" sqref="G318"/>
    </sheetView>
  </sheetViews>
  <sheetFormatPr defaultColWidth="8.58984375" defaultRowHeight="14.4" zeroHeight="false" outlineLevelRow="0" outlineLevelCol="0"/>
  <cols>
    <col collapsed="false" customWidth="true" hidden="false" outlineLevel="0" max="2" min="2" style="0" width="20.64"/>
    <col collapsed="false" customWidth="true" hidden="false" outlineLevel="0" max="3" min="3" style="0" width="70.65"/>
    <col collapsed="false" customWidth="true" hidden="false" outlineLevel="0" max="9" min="9" style="0" width="10"/>
    <col collapsed="false" customWidth="true" hidden="false" outlineLevel="0" max="14" min="14" style="0" width="8.89"/>
  </cols>
  <sheetData>
    <row r="1" customFormat="false" ht="14.4" hidden="false" customHeight="true" outlineLevel="0" collapsed="false">
      <c r="A1" s="144" t="s">
        <v>96</v>
      </c>
      <c r="B1" s="152" t="s">
        <v>97</v>
      </c>
      <c r="C1" s="144" t="s">
        <v>2590</v>
      </c>
      <c r="D1" s="144" t="s">
        <v>2591</v>
      </c>
      <c r="E1" s="144" t="s">
        <v>2592</v>
      </c>
      <c r="F1" s="145" t="s">
        <v>2593</v>
      </c>
      <c r="G1" s="169" t="s">
        <v>328</v>
      </c>
      <c r="H1" s="144" t="s">
        <v>2594</v>
      </c>
      <c r="I1" s="145" t="s">
        <v>2595</v>
      </c>
      <c r="J1" s="145" t="s">
        <v>2596</v>
      </c>
      <c r="K1" s="145" t="s">
        <v>2597</v>
      </c>
      <c r="L1" s="145" t="s">
        <v>78</v>
      </c>
      <c r="M1" s="170" t="s">
        <v>2598</v>
      </c>
      <c r="N1" s="170" t="s">
        <v>286</v>
      </c>
      <c r="O1" s="170" t="s">
        <v>280</v>
      </c>
      <c r="P1" s="170" t="s">
        <v>287</v>
      </c>
      <c r="Q1" s="151" t="s">
        <v>2599</v>
      </c>
      <c r="R1" s="145" t="s">
        <v>1777</v>
      </c>
      <c r="S1" s="145" t="s">
        <v>212</v>
      </c>
      <c r="T1" s="145" t="s">
        <v>211</v>
      </c>
      <c r="U1" s="145" t="s">
        <v>2600</v>
      </c>
    </row>
    <row r="2" customFormat="false" ht="14.4" hidden="false" customHeight="true" outlineLevel="0" collapsed="false">
      <c r="A2" s="0" t="s">
        <v>74</v>
      </c>
      <c r="B2" s="0" t="s">
        <v>554</v>
      </c>
      <c r="C2" s="0" t="s">
        <v>2601</v>
      </c>
      <c r="D2" s="0" t="n">
        <v>10</v>
      </c>
      <c r="E2" s="0" t="n">
        <v>16</v>
      </c>
      <c r="F2" s="114" t="n">
        <v>1.25</v>
      </c>
      <c r="G2" s="171" t="n">
        <f aca="false">Barrage[[#This Row],[Coefficient]]*Barrage[[#This Row],[Total Rounds]]*Barrage[[#This Row],[Base Damage]]</f>
        <v>200</v>
      </c>
      <c r="H2" s="0" t="s">
        <v>2602</v>
      </c>
      <c r="I2" s="114" t="n">
        <v>1</v>
      </c>
      <c r="J2" s="114" t="n">
        <v>1</v>
      </c>
      <c r="K2" s="114" t="n">
        <v>1</v>
      </c>
      <c r="L2" s="172"/>
      <c r="M2" s="173"/>
      <c r="N2" s="173"/>
      <c r="O2" s="173"/>
      <c r="P2" s="173"/>
      <c r="Q2" s="116"/>
      <c r="R2" s="0" t="s">
        <v>98</v>
      </c>
      <c r="T2" s="0" t="n">
        <v>1</v>
      </c>
    </row>
    <row r="3" customFormat="false" ht="14.4" hidden="false" customHeight="true" outlineLevel="0" collapsed="false">
      <c r="A3" s="0" t="s">
        <v>74</v>
      </c>
      <c r="B3" s="0" t="s">
        <v>579</v>
      </c>
      <c r="C3" s="0" t="s">
        <v>2603</v>
      </c>
      <c r="D3" s="0" t="n">
        <v>10</v>
      </c>
      <c r="E3" s="0" t="n">
        <v>10</v>
      </c>
      <c r="F3" s="114" t="n">
        <v>1.25</v>
      </c>
      <c r="G3" s="171" t="n">
        <f aca="false">Barrage[[#This Row],[Coefficient]]*Barrage[[#This Row],[Total Rounds]]*Barrage[[#This Row],[Base Damage]]</f>
        <v>125</v>
      </c>
      <c r="H3" s="0" t="s">
        <v>2602</v>
      </c>
      <c r="I3" s="114" t="n">
        <v>1</v>
      </c>
      <c r="J3" s="114" t="n">
        <v>0.75</v>
      </c>
      <c r="K3" s="114" t="n">
        <v>0.4</v>
      </c>
      <c r="L3" s="172"/>
      <c r="M3" s="173"/>
      <c r="N3" s="173"/>
      <c r="O3" s="173"/>
      <c r="P3" s="173"/>
      <c r="Q3" s="116"/>
      <c r="R3" s="0" t="s">
        <v>98</v>
      </c>
      <c r="T3" s="0" t="n">
        <v>1</v>
      </c>
    </row>
    <row r="4" customFormat="false" ht="30" hidden="false" customHeight="true" outlineLevel="0" collapsed="false">
      <c r="A4" s="152" t="s">
        <v>74</v>
      </c>
      <c r="B4" s="152" t="s">
        <v>528</v>
      </c>
      <c r="C4" s="162" t="s">
        <v>2604</v>
      </c>
      <c r="D4" s="0" t="n">
        <v>10</v>
      </c>
      <c r="E4" s="0" t="n">
        <v>20</v>
      </c>
      <c r="F4" s="114" t="n">
        <v>1.25</v>
      </c>
      <c r="G4" s="171" t="n">
        <f aca="false">Barrage[[#This Row],[Coefficient]]*Barrage[[#This Row],[Total Rounds]]*Barrage[[#This Row],[Base Damage]]</f>
        <v>250</v>
      </c>
      <c r="H4" s="0" t="s">
        <v>2602</v>
      </c>
      <c r="I4" s="114" t="n">
        <v>1</v>
      </c>
      <c r="J4" s="114" t="n">
        <v>0.75</v>
      </c>
      <c r="K4" s="114" t="n">
        <v>0.4</v>
      </c>
      <c r="L4" s="172"/>
      <c r="M4" s="173"/>
      <c r="N4" s="173"/>
      <c r="O4" s="173"/>
      <c r="P4" s="173"/>
      <c r="Q4" s="116"/>
      <c r="R4" s="0" t="s">
        <v>98</v>
      </c>
      <c r="T4" s="0" t="n">
        <v>1</v>
      </c>
    </row>
    <row r="5" customFormat="false" ht="14.4" hidden="false" customHeight="true" outlineLevel="0" collapsed="false">
      <c r="A5" s="0" t="s">
        <v>74</v>
      </c>
      <c r="B5" s="0" t="s">
        <v>594</v>
      </c>
      <c r="C5" s="0" t="s">
        <v>2605</v>
      </c>
      <c r="D5" s="0" t="n">
        <v>10</v>
      </c>
      <c r="E5" s="0" t="n">
        <v>12</v>
      </c>
      <c r="F5" s="114" t="n">
        <v>1.25</v>
      </c>
      <c r="G5" s="171" t="n">
        <f aca="false">Barrage[[#This Row],[Coefficient]]*Barrage[[#This Row],[Total Rounds]]*Barrage[[#This Row],[Base Damage]]</f>
        <v>150</v>
      </c>
      <c r="H5" s="0" t="s">
        <v>2602</v>
      </c>
      <c r="I5" s="114" t="n">
        <v>1</v>
      </c>
      <c r="J5" s="114" t="n">
        <v>0.75</v>
      </c>
      <c r="K5" s="114" t="n">
        <v>0.4</v>
      </c>
      <c r="L5" s="172"/>
      <c r="M5" s="173"/>
      <c r="N5" s="173"/>
      <c r="O5" s="173"/>
      <c r="P5" s="173"/>
      <c r="Q5" s="116"/>
      <c r="R5" s="0" t="s">
        <v>98</v>
      </c>
      <c r="T5" s="0" t="n">
        <v>1</v>
      </c>
    </row>
    <row r="6" customFormat="false" ht="14.4" hidden="false" customHeight="true" outlineLevel="0" collapsed="false">
      <c r="A6" s="0" t="s">
        <v>74</v>
      </c>
      <c r="B6" s="0" t="s">
        <v>1074</v>
      </c>
      <c r="C6" s="0" t="s">
        <v>2606</v>
      </c>
      <c r="D6" s="0" t="n">
        <v>10</v>
      </c>
      <c r="E6" s="0" t="n">
        <v>12</v>
      </c>
      <c r="F6" s="114" t="n">
        <v>1.25</v>
      </c>
      <c r="G6" s="171" t="n">
        <f aca="false">Barrage[[#This Row],[Coefficient]]*Barrage[[#This Row],[Total Rounds]]*Barrage[[#This Row],[Base Damage]]</f>
        <v>150</v>
      </c>
      <c r="H6" s="0" t="s">
        <v>2602</v>
      </c>
      <c r="I6" s="114" t="n">
        <v>1</v>
      </c>
      <c r="J6" s="114" t="n">
        <v>0.5</v>
      </c>
      <c r="K6" s="114" t="n">
        <v>0.2</v>
      </c>
      <c r="L6" s="172"/>
      <c r="M6" s="173"/>
      <c r="N6" s="173"/>
      <c r="O6" s="173"/>
      <c r="P6" s="173"/>
      <c r="Q6" s="116"/>
      <c r="R6" s="0" t="s">
        <v>98</v>
      </c>
      <c r="T6" s="0" t="n">
        <v>1</v>
      </c>
    </row>
    <row r="7" customFormat="false" ht="14.4" hidden="false" customHeight="true" outlineLevel="0" collapsed="false">
      <c r="A7" s="0" t="s">
        <v>74</v>
      </c>
      <c r="B7" s="152" t="s">
        <v>691</v>
      </c>
      <c r="C7" s="162" t="s">
        <v>2607</v>
      </c>
      <c r="D7" s="0" t="n">
        <v>10</v>
      </c>
      <c r="E7" s="0" t="n">
        <v>10</v>
      </c>
      <c r="F7" s="114" t="n">
        <v>1.25</v>
      </c>
      <c r="G7" s="171" t="n">
        <f aca="false">Barrage[[#This Row],[Coefficient]]*Barrage[[#This Row],[Total Rounds]]*Barrage[[#This Row],[Base Damage]]</f>
        <v>125</v>
      </c>
      <c r="H7" s="0" t="s">
        <v>2602</v>
      </c>
      <c r="I7" s="114" t="n">
        <v>1</v>
      </c>
      <c r="J7" s="114" t="n">
        <v>0.8</v>
      </c>
      <c r="K7" s="114" t="n">
        <v>0.6</v>
      </c>
      <c r="L7" s="172"/>
      <c r="M7" s="173"/>
      <c r="N7" s="173"/>
      <c r="O7" s="173"/>
      <c r="P7" s="173"/>
      <c r="Q7" s="116"/>
      <c r="R7" s="0" t="s">
        <v>98</v>
      </c>
      <c r="T7" s="0" t="n">
        <v>1</v>
      </c>
    </row>
    <row r="8" customFormat="false" ht="14.4" hidden="false" customHeight="true" outlineLevel="0" collapsed="false">
      <c r="A8" s="0" t="s">
        <v>74</v>
      </c>
      <c r="B8" s="0" t="s">
        <v>606</v>
      </c>
      <c r="C8" s="0" t="s">
        <v>2608</v>
      </c>
      <c r="D8" s="0" t="n">
        <v>10</v>
      </c>
      <c r="E8" s="0" t="n">
        <v>12</v>
      </c>
      <c r="F8" s="114" t="n">
        <v>1.25</v>
      </c>
      <c r="G8" s="171" t="n">
        <f aca="false">Barrage[[#This Row],[Coefficient]]*Barrage[[#This Row],[Total Rounds]]*Barrage[[#This Row],[Base Damage]]</f>
        <v>150</v>
      </c>
      <c r="H8" s="0" t="s">
        <v>2602</v>
      </c>
      <c r="I8" s="114" t="n">
        <v>1</v>
      </c>
      <c r="J8" s="114" t="n">
        <v>0.75</v>
      </c>
      <c r="K8" s="114" t="n">
        <v>0.4</v>
      </c>
      <c r="L8" s="172"/>
      <c r="M8" s="173"/>
      <c r="N8" s="173"/>
      <c r="O8" s="173"/>
      <c r="P8" s="173"/>
      <c r="Q8" s="116"/>
      <c r="R8" s="0" t="s">
        <v>98</v>
      </c>
      <c r="T8" s="0" t="n">
        <v>1</v>
      </c>
    </row>
    <row r="9" customFormat="false" ht="14.4" hidden="false" customHeight="true" outlineLevel="0" collapsed="false">
      <c r="A9" s="0" t="s">
        <v>74</v>
      </c>
      <c r="B9" s="0" t="s">
        <v>646</v>
      </c>
      <c r="C9" s="0" t="s">
        <v>2609</v>
      </c>
      <c r="D9" s="0" t="n">
        <v>10</v>
      </c>
      <c r="E9" s="0" t="n">
        <v>20</v>
      </c>
      <c r="F9" s="114" t="n">
        <v>1.25</v>
      </c>
      <c r="G9" s="171" t="n">
        <f aca="false">Barrage[[#This Row],[Coefficient]]*Barrage[[#This Row],[Total Rounds]]*Barrage[[#This Row],[Base Damage]]</f>
        <v>250</v>
      </c>
      <c r="H9" s="0" t="s">
        <v>2602</v>
      </c>
      <c r="I9" s="114" t="n">
        <v>1</v>
      </c>
      <c r="J9" s="114" t="n">
        <v>0.75</v>
      </c>
      <c r="K9" s="114" t="n">
        <v>0.4</v>
      </c>
      <c r="L9" s="172"/>
      <c r="M9" s="173"/>
      <c r="N9" s="173"/>
      <c r="O9" s="173"/>
      <c r="P9" s="173"/>
      <c r="Q9" s="116"/>
      <c r="R9" s="0" t="s">
        <v>98</v>
      </c>
      <c r="T9" s="0" t="n">
        <v>1</v>
      </c>
    </row>
    <row r="10" customFormat="false" ht="14.4" hidden="false" customHeight="true" outlineLevel="0" collapsed="false">
      <c r="A10" s="0" t="s">
        <v>74</v>
      </c>
      <c r="B10" s="0" t="s">
        <v>668</v>
      </c>
      <c r="C10" s="0" t="s">
        <v>667</v>
      </c>
      <c r="D10" s="0" t="n">
        <v>12</v>
      </c>
      <c r="E10" s="0" t="n">
        <v>12</v>
      </c>
      <c r="F10" s="114" t="n">
        <v>1.25</v>
      </c>
      <c r="G10" s="171" t="n">
        <f aca="false">Barrage[[#This Row],[Coefficient]]*Barrage[[#This Row],[Total Rounds]]*Barrage[[#This Row],[Base Damage]]</f>
        <v>180</v>
      </c>
      <c r="H10" s="0" t="s">
        <v>2602</v>
      </c>
      <c r="I10" s="114" t="n">
        <v>1</v>
      </c>
      <c r="J10" s="114" t="n">
        <v>1</v>
      </c>
      <c r="K10" s="114" t="n">
        <v>1</v>
      </c>
      <c r="L10" s="172"/>
      <c r="M10" s="173"/>
      <c r="N10" s="173"/>
      <c r="O10" s="173"/>
      <c r="P10" s="173"/>
      <c r="Q10" s="116"/>
      <c r="R10" s="0" t="s">
        <v>98</v>
      </c>
      <c r="T10" s="0" t="n">
        <v>1</v>
      </c>
    </row>
    <row r="11" customFormat="false" ht="14.4" hidden="false" customHeight="true" outlineLevel="0" collapsed="false">
      <c r="A11" s="0" t="s">
        <v>74</v>
      </c>
      <c r="B11" s="0" t="s">
        <v>673</v>
      </c>
      <c r="C11" s="0" t="s">
        <v>672</v>
      </c>
      <c r="D11" s="0" t="n">
        <v>12</v>
      </c>
      <c r="E11" s="0" t="n">
        <v>12</v>
      </c>
      <c r="F11" s="114" t="n">
        <v>1.25</v>
      </c>
      <c r="G11" s="171" t="n">
        <f aca="false">Barrage[[#This Row],[Coefficient]]*Barrage[[#This Row],[Total Rounds]]*Barrage[[#This Row],[Base Damage]]</f>
        <v>180</v>
      </c>
      <c r="H11" s="0" t="s">
        <v>2602</v>
      </c>
      <c r="I11" s="114" t="n">
        <v>1</v>
      </c>
      <c r="J11" s="114" t="n">
        <v>1</v>
      </c>
      <c r="K11" s="114" t="n">
        <v>1</v>
      </c>
      <c r="L11" s="172"/>
      <c r="M11" s="173"/>
      <c r="N11" s="173"/>
      <c r="O11" s="173"/>
      <c r="P11" s="173"/>
      <c r="Q11" s="116"/>
      <c r="R11" s="0" t="s">
        <v>98</v>
      </c>
      <c r="T11" s="0" t="n">
        <v>1</v>
      </c>
    </row>
    <row r="12" customFormat="false" ht="14.4" hidden="false" customHeight="true" outlineLevel="0" collapsed="false">
      <c r="A12" s="0" t="s">
        <v>74</v>
      </c>
      <c r="B12" s="0" t="s">
        <v>960</v>
      </c>
      <c r="C12" s="0" t="s">
        <v>2610</v>
      </c>
      <c r="D12" s="0" t="n">
        <v>10</v>
      </c>
      <c r="E12" s="0" t="n">
        <v>20</v>
      </c>
      <c r="F12" s="114" t="n">
        <v>1.25</v>
      </c>
      <c r="G12" s="171" t="n">
        <f aca="false">Barrage[[#This Row],[Coefficient]]*Barrage[[#This Row],[Total Rounds]]*Barrage[[#This Row],[Base Damage]]</f>
        <v>250</v>
      </c>
      <c r="H12" s="0" t="s">
        <v>2602</v>
      </c>
      <c r="I12" s="114" t="n">
        <v>1</v>
      </c>
      <c r="J12" s="114" t="n">
        <v>0.75</v>
      </c>
      <c r="K12" s="114" t="n">
        <v>0.4</v>
      </c>
      <c r="L12" s="172"/>
      <c r="M12" s="173"/>
      <c r="N12" s="173"/>
      <c r="O12" s="173"/>
      <c r="P12" s="173"/>
      <c r="Q12" s="116"/>
      <c r="R12" s="0" t="s">
        <v>98</v>
      </c>
      <c r="T12" s="0" t="n">
        <v>1</v>
      </c>
    </row>
    <row r="13" customFormat="false" ht="14.4" hidden="false" customHeight="true" outlineLevel="0" collapsed="false">
      <c r="A13" s="0" t="s">
        <v>74</v>
      </c>
      <c r="B13" s="0" t="s">
        <v>757</v>
      </c>
      <c r="C13" s="0" t="s">
        <v>756</v>
      </c>
      <c r="D13" s="0" t="n">
        <v>12</v>
      </c>
      <c r="E13" s="0" t="n">
        <v>24</v>
      </c>
      <c r="F13" s="114" t="n">
        <v>1.25</v>
      </c>
      <c r="G13" s="171" t="n">
        <f aca="false">Barrage[[#This Row],[Coefficient]]*Barrage[[#This Row],[Total Rounds]]*Barrage[[#This Row],[Base Damage]]</f>
        <v>360</v>
      </c>
      <c r="H13" s="174" t="s">
        <v>2611</v>
      </c>
      <c r="I13" s="114" t="n">
        <v>0.9</v>
      </c>
      <c r="J13" s="114" t="n">
        <v>0.7</v>
      </c>
      <c r="K13" s="114" t="n">
        <v>0.4</v>
      </c>
      <c r="L13" s="172"/>
      <c r="M13" s="173"/>
      <c r="N13" s="173"/>
      <c r="O13" s="173"/>
      <c r="P13" s="173"/>
      <c r="Q13" s="116" t="n">
        <v>1</v>
      </c>
      <c r="R13" s="0" t="s">
        <v>98</v>
      </c>
      <c r="T13" s="0" t="n">
        <v>1</v>
      </c>
    </row>
    <row r="14" customFormat="false" ht="14.4" hidden="false" customHeight="true" outlineLevel="0" collapsed="false">
      <c r="A14" s="0" t="s">
        <v>74</v>
      </c>
      <c r="B14" s="0" t="s">
        <v>1032</v>
      </c>
      <c r="C14" s="0" t="s">
        <v>1031</v>
      </c>
      <c r="D14" s="0" t="n">
        <v>12</v>
      </c>
      <c r="E14" s="0" t="n">
        <v>18</v>
      </c>
      <c r="F14" s="114" t="n">
        <v>1.25</v>
      </c>
      <c r="G14" s="171" t="n">
        <f aca="false">Barrage[[#This Row],[Coefficient]]*Barrage[[#This Row],[Total Rounds]]*Barrage[[#This Row],[Base Damage]]</f>
        <v>270</v>
      </c>
      <c r="H14" s="0" t="s">
        <v>2602</v>
      </c>
      <c r="I14" s="114" t="n">
        <v>1</v>
      </c>
      <c r="J14" s="114" t="n">
        <v>0.75</v>
      </c>
      <c r="K14" s="114" t="n">
        <v>0.4</v>
      </c>
      <c r="L14" s="172"/>
      <c r="M14" s="173"/>
      <c r="N14" s="173"/>
      <c r="O14" s="173"/>
      <c r="P14" s="173"/>
      <c r="Q14" s="116"/>
      <c r="R14" s="0" t="s">
        <v>98</v>
      </c>
      <c r="T14" s="0" t="n">
        <v>1</v>
      </c>
    </row>
    <row r="15" customFormat="false" ht="14.4" hidden="false" customHeight="true" outlineLevel="0" collapsed="false">
      <c r="A15" s="0" t="s">
        <v>74</v>
      </c>
      <c r="B15" s="0" t="s">
        <v>838</v>
      </c>
      <c r="C15" s="0" t="s">
        <v>25</v>
      </c>
      <c r="D15" s="0" t="n">
        <v>12</v>
      </c>
      <c r="E15" s="0" t="n">
        <v>28</v>
      </c>
      <c r="F15" s="114" t="n">
        <v>1.25</v>
      </c>
      <c r="G15" s="171" t="n">
        <f aca="false">Barrage[[#This Row],[Coefficient]]*Barrage[[#This Row],[Total Rounds]]*Barrage[[#This Row],[Base Damage]]</f>
        <v>420</v>
      </c>
      <c r="H15" s="175" t="s">
        <v>2612</v>
      </c>
      <c r="I15" s="114" t="n">
        <v>1.2</v>
      </c>
      <c r="J15" s="114" t="n">
        <v>0.6</v>
      </c>
      <c r="K15" s="114" t="n">
        <v>0.6</v>
      </c>
      <c r="L15" s="172" t="n">
        <v>0.01</v>
      </c>
      <c r="M15" s="173" t="n">
        <v>1</v>
      </c>
      <c r="N15" s="173"/>
      <c r="O15" s="173"/>
      <c r="P15" s="173"/>
      <c r="Q15" s="116"/>
      <c r="R15" s="0" t="s">
        <v>98</v>
      </c>
      <c r="T15" s="0" t="n">
        <v>1</v>
      </c>
    </row>
    <row r="16" customFormat="false" ht="14.4" hidden="false" customHeight="true" outlineLevel="0" collapsed="false">
      <c r="A16" s="0" t="s">
        <v>74</v>
      </c>
      <c r="B16" s="0" t="s">
        <v>1066</v>
      </c>
      <c r="C16" s="0" t="s">
        <v>1064</v>
      </c>
      <c r="D16" s="0" t="n">
        <v>12</v>
      </c>
      <c r="E16" s="0" t="n">
        <v>24</v>
      </c>
      <c r="F16" s="114" t="n">
        <v>1.25</v>
      </c>
      <c r="G16" s="171" t="n">
        <f aca="false">Barrage[[#This Row],[Coefficient]]*Barrage[[#This Row],[Total Rounds]]*Barrage[[#This Row],[Base Damage]]</f>
        <v>360</v>
      </c>
      <c r="H16" s="0" t="s">
        <v>2602</v>
      </c>
      <c r="I16" s="114" t="n">
        <v>1</v>
      </c>
      <c r="J16" s="114" t="n">
        <v>0.5</v>
      </c>
      <c r="K16" s="114" t="n">
        <v>0.2</v>
      </c>
      <c r="L16" s="172"/>
      <c r="M16" s="173"/>
      <c r="N16" s="173"/>
      <c r="O16" s="173"/>
      <c r="P16" s="173"/>
      <c r="Q16" s="116"/>
      <c r="R16" s="0" t="s">
        <v>98</v>
      </c>
      <c r="T16" s="0" t="n">
        <v>1</v>
      </c>
    </row>
    <row r="17" customFormat="false" ht="14.4" hidden="false" customHeight="true" outlineLevel="0" collapsed="false">
      <c r="A17" s="0" t="s">
        <v>74</v>
      </c>
      <c r="B17" s="0" t="s">
        <v>1088</v>
      </c>
      <c r="C17" s="0" t="s">
        <v>1087</v>
      </c>
      <c r="D17" s="0" t="n">
        <v>12</v>
      </c>
      <c r="E17" s="0" t="n">
        <v>20</v>
      </c>
      <c r="F17" s="114" t="n">
        <v>1.25</v>
      </c>
      <c r="G17" s="171" t="n">
        <f aca="false">Barrage[[#This Row],[Coefficient]]*Barrage[[#This Row],[Total Rounds]]*Barrage[[#This Row],[Base Damage]]</f>
        <v>300</v>
      </c>
      <c r="H17" s="174" t="s">
        <v>2611</v>
      </c>
      <c r="I17" s="114" t="n">
        <v>1</v>
      </c>
      <c r="J17" s="114" t="n">
        <v>0.8</v>
      </c>
      <c r="K17" s="114" t="n">
        <v>0.6</v>
      </c>
      <c r="L17" s="172"/>
      <c r="M17" s="173"/>
      <c r="N17" s="173"/>
      <c r="O17" s="173"/>
      <c r="P17" s="173"/>
      <c r="Q17" s="116" t="n">
        <v>1</v>
      </c>
      <c r="R17" s="0" t="s">
        <v>98</v>
      </c>
      <c r="T17" s="0" t="n">
        <v>1</v>
      </c>
    </row>
    <row r="18" customFormat="false" ht="14.4" hidden="false" customHeight="true" outlineLevel="0" collapsed="false">
      <c r="A18" s="0" t="s">
        <v>74</v>
      </c>
      <c r="B18" s="0" t="s">
        <v>473</v>
      </c>
      <c r="C18" s="0" t="s">
        <v>2613</v>
      </c>
      <c r="D18" s="0" t="n">
        <v>10</v>
      </c>
      <c r="E18" s="0" t="n">
        <v>10</v>
      </c>
      <c r="F18" s="114" t="n">
        <v>1.25</v>
      </c>
      <c r="G18" s="171" t="n">
        <f aca="false">Barrage[[#This Row],[Coefficient]]*Barrage[[#This Row],[Total Rounds]]*Barrage[[#This Row],[Base Damage]]</f>
        <v>125</v>
      </c>
      <c r="H18" s="0" t="s">
        <v>2602</v>
      </c>
      <c r="I18" s="114" t="n">
        <v>1</v>
      </c>
      <c r="J18" s="114" t="n">
        <v>0.8</v>
      </c>
      <c r="K18" s="114" t="n">
        <v>0.6</v>
      </c>
      <c r="L18" s="172"/>
      <c r="M18" s="173"/>
      <c r="N18" s="173"/>
      <c r="O18" s="173"/>
      <c r="P18" s="173"/>
      <c r="Q18" s="116"/>
      <c r="R18" s="0" t="s">
        <v>98</v>
      </c>
      <c r="T18" s="0" t="n">
        <v>1</v>
      </c>
    </row>
    <row r="19" customFormat="false" ht="14.4" hidden="false" customHeight="true" outlineLevel="0" collapsed="false">
      <c r="A19" s="0" t="s">
        <v>74</v>
      </c>
      <c r="B19" s="0" t="s">
        <v>483</v>
      </c>
      <c r="C19" s="0" t="s">
        <v>2614</v>
      </c>
      <c r="D19" s="0" t="n">
        <v>10</v>
      </c>
      <c r="E19" s="0" t="n">
        <v>17</v>
      </c>
      <c r="F19" s="114" t="n">
        <v>1.25</v>
      </c>
      <c r="G19" s="171" t="n">
        <f aca="false">Barrage[[#This Row],[Coefficient]]*Barrage[[#This Row],[Total Rounds]]*Barrage[[#This Row],[Base Damage]]</f>
        <v>212.5</v>
      </c>
      <c r="H19" s="0" t="s">
        <v>2602</v>
      </c>
      <c r="I19" s="114" t="n">
        <v>1</v>
      </c>
      <c r="J19" s="114" t="n">
        <v>0.9</v>
      </c>
      <c r="K19" s="114" t="n">
        <v>0.5</v>
      </c>
      <c r="L19" s="172"/>
      <c r="M19" s="173"/>
      <c r="N19" s="173"/>
      <c r="O19" s="173"/>
      <c r="P19" s="173"/>
      <c r="Q19" s="116"/>
      <c r="R19" s="0" t="s">
        <v>98</v>
      </c>
      <c r="T19" s="0" t="n">
        <v>1</v>
      </c>
    </row>
    <row r="20" customFormat="false" ht="14.4" hidden="false" customHeight="true" outlineLevel="0" collapsed="false">
      <c r="A20" s="0" t="s">
        <v>74</v>
      </c>
      <c r="B20" s="0" t="s">
        <v>768</v>
      </c>
      <c r="C20" s="0" t="s">
        <v>2615</v>
      </c>
      <c r="D20" s="0" t="n">
        <v>10</v>
      </c>
      <c r="E20" s="0" t="n">
        <v>24</v>
      </c>
      <c r="F20" s="114" t="n">
        <v>1.25</v>
      </c>
      <c r="G20" s="171" t="n">
        <f aca="false">Barrage[[#This Row],[Coefficient]]*Barrage[[#This Row],[Total Rounds]]*Barrage[[#This Row],[Base Damage]]</f>
        <v>300</v>
      </c>
      <c r="H20" s="0" t="s">
        <v>2602</v>
      </c>
      <c r="I20" s="114" t="n">
        <v>1</v>
      </c>
      <c r="J20" s="114" t="n">
        <v>0.75</v>
      </c>
      <c r="K20" s="114" t="n">
        <v>0.4</v>
      </c>
      <c r="L20" s="172"/>
      <c r="M20" s="173"/>
      <c r="N20" s="173"/>
      <c r="O20" s="173"/>
      <c r="P20" s="173"/>
      <c r="Q20" s="116"/>
      <c r="R20" s="0" t="s">
        <v>98</v>
      </c>
      <c r="T20" s="0" t="n">
        <v>1</v>
      </c>
    </row>
    <row r="21" customFormat="false" ht="14.4" hidden="false" customHeight="true" outlineLevel="0" collapsed="false">
      <c r="A21" s="0" t="s">
        <v>74</v>
      </c>
      <c r="B21" s="0" t="s">
        <v>697</v>
      </c>
      <c r="C21" s="0" t="s">
        <v>2616</v>
      </c>
      <c r="D21" s="0" t="n">
        <v>10</v>
      </c>
      <c r="E21" s="0" t="n">
        <v>24</v>
      </c>
      <c r="F21" s="114" t="n">
        <v>1.25</v>
      </c>
      <c r="G21" s="171" t="n">
        <f aca="false">Barrage[[#This Row],[Coefficient]]*Barrage[[#This Row],[Total Rounds]]*Barrage[[#This Row],[Base Damage]]</f>
        <v>300</v>
      </c>
      <c r="H21" s="0" t="s">
        <v>2602</v>
      </c>
      <c r="I21" s="114" t="n">
        <v>1</v>
      </c>
      <c r="J21" s="114" t="n">
        <v>0.75</v>
      </c>
      <c r="K21" s="114" t="n">
        <v>0.4</v>
      </c>
      <c r="L21" s="172"/>
      <c r="M21" s="173"/>
      <c r="N21" s="173"/>
      <c r="O21" s="173"/>
      <c r="P21" s="173"/>
      <c r="Q21" s="116"/>
      <c r="R21" s="0" t="s">
        <v>98</v>
      </c>
      <c r="T21" s="0" t="n">
        <v>1</v>
      </c>
    </row>
    <row r="22" customFormat="false" ht="14.4" hidden="false" customHeight="true" outlineLevel="0" collapsed="false">
      <c r="A22" s="0" t="s">
        <v>74</v>
      </c>
      <c r="B22" s="0" t="s">
        <v>547</v>
      </c>
      <c r="C22" s="0" t="s">
        <v>2617</v>
      </c>
      <c r="D22" s="0" t="n">
        <v>10</v>
      </c>
      <c r="E22" s="0" t="n">
        <v>15</v>
      </c>
      <c r="F22" s="114" t="n">
        <v>1.25</v>
      </c>
      <c r="G22" s="171" t="n">
        <f aca="false">Barrage[[#This Row],[Coefficient]]*Barrage[[#This Row],[Total Rounds]]*Barrage[[#This Row],[Base Damage]]</f>
        <v>187.5</v>
      </c>
      <c r="H22" s="0" t="s">
        <v>2602</v>
      </c>
      <c r="I22" s="114" t="n">
        <v>1</v>
      </c>
      <c r="J22" s="114" t="n">
        <v>1</v>
      </c>
      <c r="K22" s="114" t="n">
        <v>1</v>
      </c>
      <c r="L22" s="172"/>
      <c r="M22" s="173"/>
      <c r="N22" s="173"/>
      <c r="O22" s="173"/>
      <c r="P22" s="173"/>
      <c r="Q22" s="116"/>
      <c r="R22" s="0" t="s">
        <v>98</v>
      </c>
      <c r="T22" s="0" t="n">
        <v>1</v>
      </c>
    </row>
    <row r="23" customFormat="false" ht="14.4" hidden="false" customHeight="true" outlineLevel="0" collapsed="false">
      <c r="A23" s="0" t="s">
        <v>74</v>
      </c>
      <c r="B23" s="152" t="s">
        <v>517</v>
      </c>
      <c r="C23" s="162" t="s">
        <v>2618</v>
      </c>
      <c r="D23" s="0" t="n">
        <v>10</v>
      </c>
      <c r="E23" s="0" t="n">
        <v>12</v>
      </c>
      <c r="F23" s="114" t="n">
        <v>1.25</v>
      </c>
      <c r="G23" s="171" t="n">
        <f aca="false">Barrage[[#This Row],[Coefficient]]*Barrage[[#This Row],[Total Rounds]]*Barrage[[#This Row],[Base Damage]]</f>
        <v>150</v>
      </c>
      <c r="H23" s="0" t="s">
        <v>2602</v>
      </c>
      <c r="I23" s="114" t="n">
        <v>1</v>
      </c>
      <c r="J23" s="114" t="n">
        <v>0.5</v>
      </c>
      <c r="K23" s="114" t="n">
        <v>0.2</v>
      </c>
      <c r="L23" s="172"/>
      <c r="M23" s="173"/>
      <c r="N23" s="173"/>
      <c r="O23" s="173"/>
      <c r="P23" s="173"/>
      <c r="Q23" s="116"/>
      <c r="R23" s="0" t="s">
        <v>98</v>
      </c>
      <c r="T23" s="0" t="n">
        <v>1</v>
      </c>
    </row>
    <row r="24" customFormat="false" ht="14.4" hidden="false" customHeight="true" outlineLevel="0" collapsed="false">
      <c r="A24" s="162" t="s">
        <v>74</v>
      </c>
      <c r="B24" s="176" t="s">
        <v>665</v>
      </c>
      <c r="C24" s="162" t="s">
        <v>2619</v>
      </c>
      <c r="D24" s="162" t="n">
        <v>10</v>
      </c>
      <c r="E24" s="162" t="n">
        <v>27</v>
      </c>
      <c r="F24" s="177" t="n">
        <v>1.25</v>
      </c>
      <c r="G24" s="171" t="n">
        <f aca="false">Barrage[[#This Row],[Coefficient]]*Barrage[[#This Row],[Total Rounds]]*Barrage[[#This Row],[Base Damage]]</f>
        <v>337.5</v>
      </c>
      <c r="H24" s="178" t="s">
        <v>2612</v>
      </c>
      <c r="I24" s="177" t="n">
        <v>1.2</v>
      </c>
      <c r="J24" s="177" t="n">
        <v>0.6</v>
      </c>
      <c r="K24" s="177" t="n">
        <v>0.6</v>
      </c>
      <c r="L24" s="179" t="n">
        <v>0.01</v>
      </c>
      <c r="M24" s="180" t="n">
        <v>1</v>
      </c>
      <c r="N24" s="180"/>
      <c r="O24" s="180"/>
      <c r="P24" s="180"/>
      <c r="Q24" s="181"/>
      <c r="R24" s="0" t="s">
        <v>98</v>
      </c>
      <c r="T24" s="0" t="n">
        <v>1</v>
      </c>
      <c r="U24" s="162"/>
    </row>
    <row r="25" customFormat="false" ht="14.4" hidden="false" customHeight="true" outlineLevel="0" collapsed="false">
      <c r="A25" s="0" t="s">
        <v>74</v>
      </c>
      <c r="B25" s="0" t="s">
        <v>721</v>
      </c>
      <c r="C25" s="0" t="s">
        <v>2620</v>
      </c>
      <c r="D25" s="0" t="n">
        <v>10</v>
      </c>
      <c r="E25" s="0" t="n">
        <v>26</v>
      </c>
      <c r="F25" s="114" t="n">
        <v>1.25</v>
      </c>
      <c r="G25" s="171" t="n">
        <f aca="false">Barrage[[#This Row],[Coefficient]]*Barrage[[#This Row],[Total Rounds]]*Barrage[[#This Row],[Base Damage]]</f>
        <v>325</v>
      </c>
      <c r="H25" s="175" t="s">
        <v>2612</v>
      </c>
      <c r="I25" s="114" t="n">
        <v>1.2</v>
      </c>
      <c r="J25" s="114" t="n">
        <v>0.6</v>
      </c>
      <c r="K25" s="114" t="n">
        <v>0.6</v>
      </c>
      <c r="L25" s="172" t="n">
        <v>0.01</v>
      </c>
      <c r="M25" s="173" t="n">
        <v>1</v>
      </c>
      <c r="N25" s="173"/>
      <c r="O25" s="173"/>
      <c r="P25" s="173"/>
      <c r="Q25" s="116"/>
      <c r="R25" s="0" t="s">
        <v>98</v>
      </c>
      <c r="T25" s="0" t="n">
        <v>1</v>
      </c>
    </row>
    <row r="26" customFormat="false" ht="14.4" hidden="false" customHeight="true" outlineLevel="0" collapsed="false">
      <c r="A26" s="0" t="s">
        <v>74</v>
      </c>
      <c r="B26" s="0" t="s">
        <v>1057</v>
      </c>
      <c r="C26" s="0" t="s">
        <v>1056</v>
      </c>
      <c r="D26" s="0" t="n">
        <v>12</v>
      </c>
      <c r="E26" s="0" t="n">
        <v>30</v>
      </c>
      <c r="F26" s="114" t="n">
        <v>1.25</v>
      </c>
      <c r="G26" s="171" t="n">
        <f aca="false">Barrage[[#This Row],[Coefficient]]*Barrage[[#This Row],[Total Rounds]]*Barrage[[#This Row],[Base Damage]]</f>
        <v>450</v>
      </c>
      <c r="H26" s="175" t="s">
        <v>2612</v>
      </c>
      <c r="I26" s="114" t="n">
        <v>1.2</v>
      </c>
      <c r="J26" s="114" t="n">
        <v>1</v>
      </c>
      <c r="K26" s="114" t="n">
        <v>0.9</v>
      </c>
      <c r="L26" s="172" t="n">
        <v>0.01</v>
      </c>
      <c r="M26" s="173" t="n">
        <v>1</v>
      </c>
      <c r="N26" s="173"/>
      <c r="O26" s="173"/>
      <c r="P26" s="173"/>
      <c r="Q26" s="116"/>
      <c r="R26" s="0" t="s">
        <v>98</v>
      </c>
      <c r="T26" s="0" t="n">
        <v>1</v>
      </c>
    </row>
    <row r="27" customFormat="false" ht="14.4" hidden="false" customHeight="true" outlineLevel="0" collapsed="false">
      <c r="A27" s="0" t="s">
        <v>74</v>
      </c>
      <c r="B27" s="0" t="s">
        <v>1058</v>
      </c>
      <c r="C27" s="0" t="s">
        <v>1056</v>
      </c>
      <c r="D27" s="0" t="n">
        <v>45</v>
      </c>
      <c r="E27" s="0" t="n">
        <v>4</v>
      </c>
      <c r="F27" s="114" t="n">
        <v>1</v>
      </c>
      <c r="G27" s="171" t="n">
        <f aca="false">Barrage[[#This Row],[Coefficient]]*Barrage[[#This Row],[Total Rounds]]*Barrage[[#This Row],[Base Damage]]</f>
        <v>180</v>
      </c>
      <c r="H27" s="0" t="s">
        <v>2621</v>
      </c>
      <c r="I27" s="114" t="n">
        <v>0.7</v>
      </c>
      <c r="J27" s="114" t="n">
        <v>0.9</v>
      </c>
      <c r="K27" s="114" t="n">
        <v>1.2</v>
      </c>
      <c r="L27" s="172"/>
      <c r="M27" s="173"/>
      <c r="N27" s="173"/>
      <c r="O27" s="173"/>
      <c r="P27" s="173"/>
      <c r="Q27" s="116"/>
      <c r="R27" s="0" t="s">
        <v>99</v>
      </c>
      <c r="T27" s="0" t="n">
        <v>0.8</v>
      </c>
      <c r="U27" s="0" t="s">
        <v>2622</v>
      </c>
    </row>
    <row r="28" customFormat="false" ht="14.4" hidden="false" customHeight="true" outlineLevel="0" collapsed="false">
      <c r="A28" s="0" t="s">
        <v>74</v>
      </c>
      <c r="B28" s="0" t="s">
        <v>1118</v>
      </c>
      <c r="C28" s="0" t="s">
        <v>1116</v>
      </c>
      <c r="D28" s="0" t="n">
        <v>12</v>
      </c>
      <c r="E28" s="0" t="n">
        <v>48</v>
      </c>
      <c r="F28" s="114" t="n">
        <v>1.25</v>
      </c>
      <c r="G28" s="171" t="n">
        <f aca="false">Barrage[[#This Row],[Coefficient]]*Barrage[[#This Row],[Total Rounds]]*Barrage[[#This Row],[Base Damage]]</f>
        <v>720</v>
      </c>
      <c r="H28" s="174" t="s">
        <v>2611</v>
      </c>
      <c r="I28" s="114" t="n">
        <v>0.9</v>
      </c>
      <c r="J28" s="114" t="n">
        <v>0.7</v>
      </c>
      <c r="K28" s="114" t="n">
        <v>0.4</v>
      </c>
      <c r="L28" s="172"/>
      <c r="M28" s="173"/>
      <c r="N28" s="173"/>
      <c r="O28" s="173"/>
      <c r="P28" s="173"/>
      <c r="Q28" s="116" t="n">
        <v>0</v>
      </c>
      <c r="R28" s="0" t="s">
        <v>98</v>
      </c>
      <c r="T28" s="0" t="n">
        <v>1</v>
      </c>
      <c r="U28" s="0" t="s">
        <v>2623</v>
      </c>
    </row>
    <row r="29" customFormat="false" ht="14.4" hidden="false" customHeight="true" outlineLevel="0" collapsed="false">
      <c r="A29" s="0" t="s">
        <v>74</v>
      </c>
      <c r="B29" s="0" t="s">
        <v>1117</v>
      </c>
      <c r="C29" s="0" t="s">
        <v>1116</v>
      </c>
      <c r="D29" s="0" t="n">
        <v>40</v>
      </c>
      <c r="E29" s="0" t="n">
        <v>4</v>
      </c>
      <c r="F29" s="114" t="n">
        <v>1</v>
      </c>
      <c r="G29" s="171" t="n">
        <f aca="false">Barrage[[#This Row],[Coefficient]]*Barrage[[#This Row],[Total Rounds]]*Barrage[[#This Row],[Base Damage]]</f>
        <v>160</v>
      </c>
      <c r="H29" s="0" t="s">
        <v>2621</v>
      </c>
      <c r="I29" s="114" t="n">
        <v>0.7</v>
      </c>
      <c r="J29" s="114" t="n">
        <v>0.9</v>
      </c>
      <c r="K29" s="114" t="n">
        <v>1.2</v>
      </c>
      <c r="L29" s="172"/>
      <c r="M29" s="173"/>
      <c r="N29" s="173"/>
      <c r="O29" s="173"/>
      <c r="P29" s="173"/>
      <c r="Q29" s="116"/>
      <c r="R29" s="0" t="s">
        <v>99</v>
      </c>
      <c r="T29" s="0" t="n">
        <v>1</v>
      </c>
    </row>
    <row r="30" customFormat="false" ht="14.4" hidden="false" customHeight="true" outlineLevel="0" collapsed="false">
      <c r="A30" s="0" t="s">
        <v>74</v>
      </c>
      <c r="B30" s="0" t="s">
        <v>624</v>
      </c>
      <c r="C30" s="0" t="s">
        <v>623</v>
      </c>
      <c r="D30" s="0" t="n">
        <v>12</v>
      </c>
      <c r="E30" s="0" t="n">
        <v>36</v>
      </c>
      <c r="F30" s="114" t="n">
        <v>1</v>
      </c>
      <c r="G30" s="171" t="n">
        <f aca="false">Barrage[[#This Row],[Coefficient]]*Barrage[[#This Row],[Total Rounds]]*Barrage[[#This Row],[Base Damage]]</f>
        <v>432</v>
      </c>
      <c r="H30" s="174" t="s">
        <v>2611</v>
      </c>
      <c r="I30" s="114" t="n">
        <v>1.2</v>
      </c>
      <c r="J30" s="114" t="n">
        <v>1.2</v>
      </c>
      <c r="K30" s="114" t="n">
        <v>1.2</v>
      </c>
      <c r="L30" s="172"/>
      <c r="M30" s="173"/>
      <c r="N30" s="173"/>
      <c r="O30" s="173"/>
      <c r="P30" s="173"/>
      <c r="Q30" s="116" t="n">
        <v>1</v>
      </c>
      <c r="R30" s="0" t="s">
        <v>98</v>
      </c>
      <c r="T30" s="0" t="n">
        <v>1</v>
      </c>
    </row>
    <row r="31" customFormat="false" ht="14.4" hidden="false" customHeight="true" outlineLevel="0" collapsed="false">
      <c r="A31" s="0" t="s">
        <v>74</v>
      </c>
      <c r="B31" s="0" t="s">
        <v>533</v>
      </c>
      <c r="C31" s="0" t="s">
        <v>532</v>
      </c>
      <c r="D31" s="0" t="n">
        <v>12</v>
      </c>
      <c r="E31" s="0" t="n">
        <v>36</v>
      </c>
      <c r="F31" s="114" t="n">
        <v>1.25</v>
      </c>
      <c r="G31" s="171" t="n">
        <f aca="false">Barrage[[#This Row],[Coefficient]]*Barrage[[#This Row],[Total Rounds]]*Barrage[[#This Row],[Base Damage]]</f>
        <v>540</v>
      </c>
      <c r="H31" s="175" t="s">
        <v>2612</v>
      </c>
      <c r="I31" s="114" t="n">
        <v>1.2</v>
      </c>
      <c r="J31" s="114" t="n">
        <v>0.6</v>
      </c>
      <c r="K31" s="114" t="n">
        <v>0.6</v>
      </c>
      <c r="L31" s="172" t="n">
        <v>0.01</v>
      </c>
      <c r="M31" s="173" t="n">
        <v>1</v>
      </c>
      <c r="N31" s="173"/>
      <c r="O31" s="173"/>
      <c r="P31" s="173"/>
      <c r="Q31" s="116"/>
      <c r="R31" s="0" t="s">
        <v>98</v>
      </c>
      <c r="T31" s="0" t="n">
        <v>1</v>
      </c>
    </row>
    <row r="32" customFormat="false" ht="14.4" hidden="false" customHeight="true" outlineLevel="0" collapsed="false">
      <c r="A32" s="0" t="s">
        <v>74</v>
      </c>
      <c r="B32" s="0" t="s">
        <v>705</v>
      </c>
      <c r="C32" s="0" t="s">
        <v>2624</v>
      </c>
      <c r="D32" s="0" t="n">
        <v>10</v>
      </c>
      <c r="E32" s="0" t="n">
        <v>16</v>
      </c>
      <c r="F32" s="114" t="n">
        <v>1.25</v>
      </c>
      <c r="G32" s="171" t="n">
        <f aca="false">Barrage[[#This Row],[Coefficient]]*Barrage[[#This Row],[Total Rounds]]*Barrage[[#This Row],[Base Damage]]</f>
        <v>200</v>
      </c>
      <c r="H32" s="175" t="s">
        <v>2612</v>
      </c>
      <c r="I32" s="114" t="n">
        <v>1.4</v>
      </c>
      <c r="J32" s="114" t="n">
        <v>0.9</v>
      </c>
      <c r="K32" s="114" t="n">
        <v>0.7</v>
      </c>
      <c r="L32" s="172" t="n">
        <v>0.03</v>
      </c>
      <c r="M32" s="173" t="n">
        <v>2</v>
      </c>
      <c r="N32" s="173"/>
      <c r="O32" s="173"/>
      <c r="P32" s="173"/>
      <c r="Q32" s="116"/>
      <c r="R32" s="0" t="s">
        <v>98</v>
      </c>
      <c r="T32" s="0" t="n">
        <v>1</v>
      </c>
      <c r="U32" s="0" t="s">
        <v>2625</v>
      </c>
    </row>
    <row r="33" customFormat="false" ht="14.4" hidden="false" customHeight="true" outlineLevel="0" collapsed="false">
      <c r="A33" s="0" t="s">
        <v>74</v>
      </c>
      <c r="B33" s="0" t="s">
        <v>660</v>
      </c>
      <c r="C33" s="0" t="s">
        <v>2626</v>
      </c>
      <c r="D33" s="0" t="n">
        <v>10</v>
      </c>
      <c r="E33" s="0" t="n">
        <v>16</v>
      </c>
      <c r="F33" s="114" t="n">
        <v>1.25</v>
      </c>
      <c r="G33" s="171" t="n">
        <f aca="false">Barrage[[#This Row],[Coefficient]]*Barrage[[#This Row],[Total Rounds]]*Barrage[[#This Row],[Base Damage]]</f>
        <v>200</v>
      </c>
      <c r="H33" s="0" t="s">
        <v>2602</v>
      </c>
      <c r="I33" s="114" t="n">
        <v>1</v>
      </c>
      <c r="J33" s="114" t="n">
        <v>0.9</v>
      </c>
      <c r="K33" s="114" t="n">
        <v>0.5</v>
      </c>
      <c r="L33" s="172"/>
      <c r="M33" s="173"/>
      <c r="N33" s="173"/>
      <c r="O33" s="173"/>
      <c r="P33" s="173"/>
      <c r="Q33" s="116"/>
      <c r="R33" s="0" t="s">
        <v>98</v>
      </c>
      <c r="T33" s="0" t="n">
        <v>1</v>
      </c>
    </row>
    <row r="34" customFormat="false" ht="14.4" hidden="false" customHeight="true" outlineLevel="0" collapsed="false">
      <c r="A34" s="0" t="s">
        <v>74</v>
      </c>
      <c r="B34" s="0" t="s">
        <v>498</v>
      </c>
      <c r="C34" s="0" t="s">
        <v>2627</v>
      </c>
      <c r="D34" s="0" t="n">
        <v>12</v>
      </c>
      <c r="E34" s="0" t="n">
        <v>20</v>
      </c>
      <c r="F34" s="114" t="n">
        <v>1.25</v>
      </c>
      <c r="G34" s="171" t="n">
        <f aca="false">Barrage[[#This Row],[Coefficient]]*Barrage[[#This Row],[Total Rounds]]*Barrage[[#This Row],[Base Damage]]</f>
        <v>300</v>
      </c>
      <c r="H34" s="0" t="s">
        <v>2602</v>
      </c>
      <c r="I34" s="114" t="n">
        <v>1.3</v>
      </c>
      <c r="J34" s="114" t="n">
        <v>0.9</v>
      </c>
      <c r="K34" s="114" t="n">
        <v>0.6</v>
      </c>
      <c r="L34" s="172"/>
      <c r="M34" s="173"/>
      <c r="N34" s="173"/>
      <c r="O34" s="173"/>
      <c r="P34" s="173"/>
      <c r="Q34" s="116"/>
      <c r="R34" s="0" t="s">
        <v>98</v>
      </c>
      <c r="T34" s="0" t="n">
        <v>1</v>
      </c>
    </row>
    <row r="35" customFormat="false" ht="14.4" hidden="false" customHeight="true" outlineLevel="0" collapsed="false">
      <c r="A35" s="0" t="s">
        <v>74</v>
      </c>
      <c r="B35" s="0" t="s">
        <v>885</v>
      </c>
      <c r="C35" s="0" t="s">
        <v>2628</v>
      </c>
      <c r="D35" s="0" t="n">
        <v>10</v>
      </c>
      <c r="E35" s="0" t="n">
        <v>26</v>
      </c>
      <c r="F35" s="114" t="n">
        <v>1.25</v>
      </c>
      <c r="G35" s="171" t="n">
        <f aca="false">Barrage[[#This Row],[Coefficient]]*Barrage[[#This Row],[Total Rounds]]*Barrage[[#This Row],[Base Damage]]</f>
        <v>325</v>
      </c>
      <c r="H35" s="0" t="s">
        <v>2602</v>
      </c>
      <c r="I35" s="114" t="n">
        <v>1</v>
      </c>
      <c r="J35" s="114" t="n">
        <v>0.75</v>
      </c>
      <c r="K35" s="114" t="n">
        <v>0.4</v>
      </c>
      <c r="L35" s="172"/>
      <c r="M35" s="173"/>
      <c r="N35" s="173"/>
      <c r="O35" s="173"/>
      <c r="P35" s="173"/>
      <c r="Q35" s="116"/>
      <c r="R35" s="0" t="s">
        <v>98</v>
      </c>
      <c r="T35" s="0" t="n">
        <v>1</v>
      </c>
    </row>
    <row r="36" customFormat="false" ht="14.4" hidden="false" customHeight="true" outlineLevel="0" collapsed="false">
      <c r="A36" s="0" t="s">
        <v>74</v>
      </c>
      <c r="B36" s="0" t="s">
        <v>1049</v>
      </c>
      <c r="C36" s="0" t="s">
        <v>1048</v>
      </c>
      <c r="D36" s="0" t="n">
        <v>12</v>
      </c>
      <c r="E36" s="0" t="n">
        <v>18</v>
      </c>
      <c r="F36" s="114" t="n">
        <v>1.25</v>
      </c>
      <c r="G36" s="171" t="n">
        <f aca="false">Barrage[[#This Row],[Coefficient]]*Barrage[[#This Row],[Total Rounds]]*Barrage[[#This Row],[Base Damage]]</f>
        <v>270</v>
      </c>
      <c r="H36" s="175" t="s">
        <v>2612</v>
      </c>
      <c r="I36" s="114" t="n">
        <v>1.2</v>
      </c>
      <c r="J36" s="114" t="n">
        <v>0.6</v>
      </c>
      <c r="K36" s="114" t="n">
        <v>0.6</v>
      </c>
      <c r="L36" s="172" t="n">
        <v>0.01</v>
      </c>
      <c r="M36" s="173" t="n">
        <v>1</v>
      </c>
      <c r="N36" s="173"/>
      <c r="O36" s="173"/>
      <c r="P36" s="173"/>
      <c r="Q36" s="116"/>
      <c r="R36" s="0" t="s">
        <v>98</v>
      </c>
      <c r="T36" s="0" t="n">
        <v>1</v>
      </c>
    </row>
    <row r="37" customFormat="false" ht="14.4" hidden="false" customHeight="true" outlineLevel="0" collapsed="false">
      <c r="A37" s="0" t="s">
        <v>74</v>
      </c>
      <c r="B37" s="0" t="s">
        <v>1050</v>
      </c>
      <c r="C37" s="0" t="s">
        <v>1048</v>
      </c>
      <c r="D37" s="0" t="n">
        <v>60</v>
      </c>
      <c r="E37" s="0" t="n">
        <v>4</v>
      </c>
      <c r="F37" s="114" t="n">
        <v>1</v>
      </c>
      <c r="G37" s="171" t="n">
        <f aca="false">Barrage[[#This Row],[Coefficient]]*Barrage[[#This Row],[Total Rounds]]*Barrage[[#This Row],[Base Damage]]</f>
        <v>240</v>
      </c>
      <c r="H37" s="0" t="s">
        <v>2621</v>
      </c>
      <c r="I37" s="114" t="n">
        <v>0.8</v>
      </c>
      <c r="J37" s="114" t="n">
        <v>1</v>
      </c>
      <c r="K37" s="114" t="n">
        <v>1.3</v>
      </c>
      <c r="L37" s="172"/>
      <c r="M37" s="173"/>
      <c r="N37" s="173"/>
      <c r="O37" s="173"/>
      <c r="P37" s="173"/>
      <c r="Q37" s="116"/>
      <c r="R37" s="0" t="s">
        <v>99</v>
      </c>
      <c r="T37" s="0" t="n">
        <v>1</v>
      </c>
    </row>
    <row r="38" customFormat="false" ht="14.4" hidden="false" customHeight="true" outlineLevel="0" collapsed="false">
      <c r="A38" s="0" t="s">
        <v>74</v>
      </c>
      <c r="B38" s="0" t="s">
        <v>504</v>
      </c>
      <c r="C38" s="0" t="s">
        <v>2629</v>
      </c>
      <c r="D38" s="0" t="n">
        <v>10</v>
      </c>
      <c r="E38" s="0" t="n">
        <v>18</v>
      </c>
      <c r="F38" s="114" t="n">
        <v>1.25</v>
      </c>
      <c r="G38" s="171" t="n">
        <f aca="false">Barrage[[#This Row],[Coefficient]]*Barrage[[#This Row],[Total Rounds]]*Barrage[[#This Row],[Base Damage]]</f>
        <v>225</v>
      </c>
      <c r="H38" s="175" t="s">
        <v>2612</v>
      </c>
      <c r="I38" s="114" t="n">
        <v>1</v>
      </c>
      <c r="J38" s="114" t="n">
        <v>0.8</v>
      </c>
      <c r="K38" s="114" t="n">
        <v>0.6</v>
      </c>
      <c r="L38" s="172" t="n">
        <v>0.01</v>
      </c>
      <c r="M38" s="173" t="n">
        <v>1</v>
      </c>
      <c r="N38" s="173"/>
      <c r="O38" s="173"/>
      <c r="P38" s="173"/>
      <c r="Q38" s="116"/>
      <c r="R38" s="0" t="s">
        <v>98</v>
      </c>
      <c r="T38" s="0" t="n">
        <v>1</v>
      </c>
    </row>
    <row r="39" customFormat="false" ht="14.4" hidden="false" customHeight="true" outlineLevel="0" collapsed="false">
      <c r="A39" s="0" t="s">
        <v>74</v>
      </c>
      <c r="B39" s="0" t="s">
        <v>800</v>
      </c>
      <c r="C39" s="0" t="s">
        <v>799</v>
      </c>
      <c r="D39" s="0" t="n">
        <v>12</v>
      </c>
      <c r="E39" s="0" t="n">
        <v>30</v>
      </c>
      <c r="F39" s="114" t="n">
        <v>1.25</v>
      </c>
      <c r="G39" s="171" t="n">
        <f aca="false">Barrage[[#This Row],[Coefficient]]*Barrage[[#This Row],[Total Rounds]]*Barrage[[#This Row],[Base Damage]]</f>
        <v>450</v>
      </c>
      <c r="H39" s="0" t="s">
        <v>2602</v>
      </c>
      <c r="I39" s="114" t="n">
        <v>1.05</v>
      </c>
      <c r="J39" s="114" t="n">
        <v>0.9</v>
      </c>
      <c r="K39" s="114" t="n">
        <v>0.85</v>
      </c>
      <c r="L39" s="172"/>
      <c r="M39" s="173"/>
      <c r="N39" s="173"/>
      <c r="O39" s="173"/>
      <c r="P39" s="173"/>
      <c r="Q39" s="116"/>
      <c r="R39" s="0" t="s">
        <v>98</v>
      </c>
      <c r="T39" s="0" t="n">
        <v>1</v>
      </c>
    </row>
    <row r="40" customFormat="false" ht="14.4" hidden="false" customHeight="true" outlineLevel="0" collapsed="false">
      <c r="A40" s="0" t="s">
        <v>74</v>
      </c>
      <c r="B40" s="0" t="s">
        <v>801</v>
      </c>
      <c r="C40" s="0" t="s">
        <v>799</v>
      </c>
      <c r="D40" s="0" t="n">
        <v>45</v>
      </c>
      <c r="E40" s="0" t="n">
        <v>4</v>
      </c>
      <c r="F40" s="114" t="n">
        <v>1</v>
      </c>
      <c r="G40" s="171" t="n">
        <f aca="false">Barrage[[#This Row],[Coefficient]]*Barrage[[#This Row],[Total Rounds]]*Barrage[[#This Row],[Base Damage]]</f>
        <v>180</v>
      </c>
      <c r="H40" s="0" t="s">
        <v>2621</v>
      </c>
      <c r="I40" s="114" t="n">
        <v>0.7</v>
      </c>
      <c r="J40" s="114" t="n">
        <v>0.9</v>
      </c>
      <c r="K40" s="114" t="n">
        <v>1.25</v>
      </c>
      <c r="L40" s="172"/>
      <c r="M40" s="173"/>
      <c r="N40" s="173"/>
      <c r="O40" s="173"/>
      <c r="P40" s="173"/>
      <c r="Q40" s="116"/>
      <c r="R40" s="0" t="s">
        <v>99</v>
      </c>
      <c r="T40" s="0" t="n">
        <v>0.8</v>
      </c>
      <c r="U40" s="0" t="s">
        <v>2622</v>
      </c>
    </row>
    <row r="41" customFormat="false" ht="14.4" hidden="false" customHeight="true" outlineLevel="0" collapsed="false">
      <c r="A41" s="0" t="s">
        <v>74</v>
      </c>
      <c r="B41" s="0" t="s">
        <v>1100</v>
      </c>
      <c r="C41" s="0" t="s">
        <v>1101</v>
      </c>
      <c r="D41" s="0" t="n">
        <v>12</v>
      </c>
      <c r="E41" s="0" t="n">
        <v>18</v>
      </c>
      <c r="F41" s="114" t="n">
        <v>1.25</v>
      </c>
      <c r="G41" s="171" t="n">
        <f aca="false">Barrage[[#This Row],[Coefficient]]*Barrage[[#This Row],[Total Rounds]]*Barrage[[#This Row],[Base Damage]]</f>
        <v>270</v>
      </c>
      <c r="H41" s="174" t="s">
        <v>2611</v>
      </c>
      <c r="I41" s="114" t="n">
        <v>1.1</v>
      </c>
      <c r="J41" s="114" t="n">
        <v>0.9</v>
      </c>
      <c r="K41" s="114" t="n">
        <v>0.7</v>
      </c>
      <c r="L41" s="172"/>
      <c r="M41" s="173"/>
      <c r="N41" s="173"/>
      <c r="O41" s="173"/>
      <c r="P41" s="173"/>
      <c r="Q41" s="116" t="n">
        <v>1</v>
      </c>
      <c r="R41" s="0" t="s">
        <v>98</v>
      </c>
      <c r="T41" s="0" t="n">
        <v>1</v>
      </c>
    </row>
    <row r="42" customFormat="false" ht="14.4" hidden="false" customHeight="true" outlineLevel="0" collapsed="false">
      <c r="A42" s="0" t="s">
        <v>74</v>
      </c>
      <c r="B42" s="0" t="s">
        <v>1109</v>
      </c>
      <c r="C42" s="0" t="s">
        <v>2630</v>
      </c>
      <c r="D42" s="0" t="n">
        <v>10</v>
      </c>
      <c r="E42" s="0" t="n">
        <v>24</v>
      </c>
      <c r="F42" s="114" t="n">
        <v>1.25</v>
      </c>
      <c r="G42" s="171" t="n">
        <f aca="false">Barrage[[#This Row],[Coefficient]]*Barrage[[#This Row],[Total Rounds]]*Barrage[[#This Row],[Base Damage]]</f>
        <v>300</v>
      </c>
      <c r="H42" s="175" t="s">
        <v>2612</v>
      </c>
      <c r="I42" s="114" t="n">
        <v>1.2</v>
      </c>
      <c r="J42" s="114" t="n">
        <v>0.6</v>
      </c>
      <c r="K42" s="114" t="n">
        <v>0.6</v>
      </c>
      <c r="L42" s="172"/>
      <c r="M42" s="173"/>
      <c r="N42" s="173"/>
      <c r="O42" s="173"/>
      <c r="P42" s="173"/>
      <c r="Q42" s="116"/>
      <c r="R42" s="0" t="s">
        <v>98</v>
      </c>
      <c r="T42" s="0" t="n">
        <v>1</v>
      </c>
    </row>
    <row r="43" customFormat="false" ht="14.4" hidden="false" customHeight="true" outlineLevel="0" collapsed="false">
      <c r="A43" s="0" t="s">
        <v>74</v>
      </c>
      <c r="B43" s="0" t="s">
        <v>1080</v>
      </c>
      <c r="C43" s="0" t="s">
        <v>1079</v>
      </c>
      <c r="D43" s="0" t="n">
        <v>10</v>
      </c>
      <c r="E43" s="0" t="n">
        <v>16</v>
      </c>
      <c r="F43" s="114" t="n">
        <v>1.25</v>
      </c>
      <c r="G43" s="171" t="n">
        <f aca="false">Barrage[[#This Row],[Coefficient]]*Barrage[[#This Row],[Total Rounds]]*Barrage[[#This Row],[Base Damage]]</f>
        <v>200</v>
      </c>
      <c r="H43" s="174" t="s">
        <v>2611</v>
      </c>
      <c r="I43" s="114" t="n">
        <v>0.9</v>
      </c>
      <c r="J43" s="114" t="n">
        <v>0.7</v>
      </c>
      <c r="K43" s="114" t="n">
        <v>0.4</v>
      </c>
      <c r="L43" s="172"/>
      <c r="M43" s="173"/>
      <c r="N43" s="173"/>
      <c r="O43" s="173"/>
      <c r="P43" s="173"/>
      <c r="Q43" s="116" t="n">
        <v>0</v>
      </c>
      <c r="R43" s="0" t="s">
        <v>98</v>
      </c>
      <c r="T43" s="0" t="n">
        <v>1</v>
      </c>
    </row>
    <row r="44" customFormat="false" ht="14.4" hidden="false" customHeight="true" outlineLevel="0" collapsed="false">
      <c r="A44" s="0" t="s">
        <v>74</v>
      </c>
      <c r="B44" s="0" t="s">
        <v>460</v>
      </c>
      <c r="C44" s="182" t="n">
        <v>22</v>
      </c>
      <c r="D44" s="0" t="n">
        <v>10</v>
      </c>
      <c r="E44" s="0" t="n">
        <v>32</v>
      </c>
      <c r="F44" s="114" t="n">
        <v>1</v>
      </c>
      <c r="G44" s="171" t="n">
        <f aca="false">Barrage[[#This Row],[Coefficient]]*Barrage[[#This Row],[Total Rounds]]*Barrage[[#This Row],[Base Damage]]</f>
        <v>320</v>
      </c>
      <c r="H44" s="0" t="s">
        <v>2602</v>
      </c>
      <c r="I44" s="114" t="n">
        <v>1</v>
      </c>
      <c r="J44" s="114" t="n">
        <v>0.8</v>
      </c>
      <c r="K44" s="114" t="n">
        <v>0.6</v>
      </c>
      <c r="L44" s="172"/>
      <c r="M44" s="173"/>
      <c r="N44" s="173"/>
      <c r="O44" s="173"/>
      <c r="P44" s="173"/>
      <c r="Q44" s="116"/>
      <c r="R44" s="0" t="s">
        <v>98</v>
      </c>
      <c r="T44" s="0" t="n">
        <v>1</v>
      </c>
    </row>
    <row r="45" customFormat="false" ht="14.4" hidden="false" customHeight="true" outlineLevel="0" collapsed="false">
      <c r="A45" s="0" t="s">
        <v>74</v>
      </c>
      <c r="B45" s="0" t="s">
        <v>466</v>
      </c>
      <c r="C45" s="182" t="n">
        <v>33</v>
      </c>
      <c r="D45" s="0" t="n">
        <v>10</v>
      </c>
      <c r="E45" s="0" t="n">
        <v>32</v>
      </c>
      <c r="F45" s="114" t="n">
        <v>1</v>
      </c>
      <c r="G45" s="171" t="n">
        <f aca="false">Barrage[[#This Row],[Coefficient]]*Barrage[[#This Row],[Total Rounds]]*Barrage[[#This Row],[Base Damage]]</f>
        <v>320</v>
      </c>
      <c r="H45" s="0" t="s">
        <v>2602</v>
      </c>
      <c r="I45" s="114" t="n">
        <v>1</v>
      </c>
      <c r="J45" s="114" t="n">
        <v>0.8</v>
      </c>
      <c r="K45" s="114" t="n">
        <v>0.6</v>
      </c>
      <c r="L45" s="172"/>
      <c r="M45" s="173"/>
      <c r="N45" s="173"/>
      <c r="O45" s="173"/>
      <c r="P45" s="173"/>
      <c r="Q45" s="116"/>
      <c r="R45" s="0" t="s">
        <v>98</v>
      </c>
      <c r="T45" s="0" t="n">
        <v>1</v>
      </c>
    </row>
    <row r="46" customFormat="false" ht="14.4" hidden="false" customHeight="true" outlineLevel="0" collapsed="false">
      <c r="A46" s="0" t="s">
        <v>74</v>
      </c>
      <c r="B46" s="0" t="s">
        <v>868</v>
      </c>
      <c r="C46" s="0" t="s">
        <v>867</v>
      </c>
      <c r="D46" s="0" t="n">
        <v>12</v>
      </c>
      <c r="E46" s="0" t="n">
        <v>12</v>
      </c>
      <c r="F46" s="114" t="n">
        <v>1.25</v>
      </c>
      <c r="G46" s="171" t="n">
        <f aca="false">Barrage[[#This Row],[Coefficient]]*Barrage[[#This Row],[Total Rounds]]*Barrage[[#This Row],[Base Damage]]</f>
        <v>180</v>
      </c>
      <c r="H46" s="0" t="s">
        <v>2631</v>
      </c>
      <c r="I46" s="114" t="n">
        <v>1</v>
      </c>
      <c r="J46" s="114" t="n">
        <v>0.75</v>
      </c>
      <c r="K46" s="114" t="n">
        <v>0.4</v>
      </c>
      <c r="L46" s="172"/>
      <c r="M46" s="173"/>
      <c r="N46" s="173"/>
      <c r="O46" s="173"/>
      <c r="P46" s="173"/>
      <c r="Q46" s="116"/>
      <c r="R46" s="0" t="s">
        <v>98</v>
      </c>
      <c r="T46" s="0" t="n">
        <v>1</v>
      </c>
    </row>
    <row r="47" customFormat="false" ht="14.4" hidden="false" customHeight="true" outlineLevel="0" collapsed="false">
      <c r="A47" s="0" t="s">
        <v>74</v>
      </c>
      <c r="B47" s="0" t="s">
        <v>869</v>
      </c>
      <c r="C47" s="0" t="s">
        <v>867</v>
      </c>
      <c r="D47" s="0" t="n">
        <v>12</v>
      </c>
      <c r="E47" s="0" t="n">
        <v>12</v>
      </c>
      <c r="F47" s="114" t="n">
        <v>1.25</v>
      </c>
      <c r="G47" s="171" t="n">
        <f aca="false">Barrage[[#This Row],[Coefficient]]*Barrage[[#This Row],[Total Rounds]]*Barrage[[#This Row],[Base Damage]]</f>
        <v>180</v>
      </c>
      <c r="H47" s="0" t="s">
        <v>2632</v>
      </c>
      <c r="I47" s="114" t="n">
        <v>1</v>
      </c>
      <c r="J47" s="114" t="n">
        <v>0.8</v>
      </c>
      <c r="K47" s="114" t="n">
        <v>0.6</v>
      </c>
      <c r="L47" s="172"/>
      <c r="M47" s="173"/>
      <c r="N47" s="173"/>
      <c r="O47" s="173"/>
      <c r="P47" s="173"/>
      <c r="Q47" s="116"/>
      <c r="R47" s="0" t="s">
        <v>98</v>
      </c>
      <c r="T47" s="0" t="n">
        <v>1</v>
      </c>
    </row>
    <row r="48" customFormat="false" ht="14.4" hidden="false" customHeight="true" outlineLevel="0" collapsed="false">
      <c r="A48" s="0" t="s">
        <v>74</v>
      </c>
      <c r="B48" s="0" t="s">
        <v>870</v>
      </c>
      <c r="C48" s="0" t="s">
        <v>867</v>
      </c>
      <c r="D48" s="0" t="n">
        <v>12</v>
      </c>
      <c r="E48" s="0" t="n">
        <v>12</v>
      </c>
      <c r="F48" s="114" t="n">
        <v>1.25</v>
      </c>
      <c r="G48" s="171" t="n">
        <f aca="false">Barrage[[#This Row],[Coefficient]]*Barrage[[#This Row],[Total Rounds]]*Barrage[[#This Row],[Base Damage]]</f>
        <v>180</v>
      </c>
      <c r="H48" s="0" t="s">
        <v>2633</v>
      </c>
      <c r="I48" s="114" t="n">
        <v>1.2</v>
      </c>
      <c r="J48" s="114" t="n">
        <v>0.6</v>
      </c>
      <c r="K48" s="114" t="n">
        <v>0.6</v>
      </c>
      <c r="L48" s="172"/>
      <c r="M48" s="173"/>
      <c r="N48" s="173"/>
      <c r="O48" s="173"/>
      <c r="P48" s="173"/>
      <c r="Q48" s="116"/>
      <c r="R48" s="0" t="s">
        <v>98</v>
      </c>
      <c r="T48" s="0" t="n">
        <v>1</v>
      </c>
    </row>
    <row r="49" customFormat="false" ht="14.4" hidden="false" customHeight="true" outlineLevel="0" collapsed="false">
      <c r="A49" s="0" t="s">
        <v>74</v>
      </c>
      <c r="B49" s="0" t="s">
        <v>871</v>
      </c>
      <c r="C49" s="0" t="s">
        <v>867</v>
      </c>
      <c r="D49" s="0" t="n">
        <v>45</v>
      </c>
      <c r="E49" s="0" t="n">
        <v>3</v>
      </c>
      <c r="F49" s="114" t="n">
        <v>1</v>
      </c>
      <c r="G49" s="171" t="n">
        <f aca="false">Barrage[[#This Row],[Coefficient]]*Barrage[[#This Row],[Total Rounds]]*Barrage[[#This Row],[Base Damage]]</f>
        <v>135</v>
      </c>
      <c r="H49" s="0" t="s">
        <v>2621</v>
      </c>
      <c r="I49" s="114" t="n">
        <v>0.7</v>
      </c>
      <c r="J49" s="114" t="n">
        <v>0.9</v>
      </c>
      <c r="K49" s="114" t="n">
        <v>1.25</v>
      </c>
      <c r="L49" s="172"/>
      <c r="M49" s="173"/>
      <c r="N49" s="173"/>
      <c r="O49" s="173"/>
      <c r="P49" s="173"/>
      <c r="Q49" s="116"/>
      <c r="R49" s="0" t="s">
        <v>99</v>
      </c>
      <c r="T49" s="0" t="n">
        <v>1</v>
      </c>
    </row>
    <row r="50" customFormat="false" ht="14.4" hidden="false" customHeight="true" outlineLevel="0" collapsed="false">
      <c r="A50" s="0" t="s">
        <v>74</v>
      </c>
      <c r="B50" s="0" t="s">
        <v>640</v>
      </c>
      <c r="C50" s="0" t="s">
        <v>2634</v>
      </c>
      <c r="D50" s="0" t="n">
        <v>10</v>
      </c>
      <c r="E50" s="0" t="n">
        <v>24</v>
      </c>
      <c r="F50" s="114" t="n">
        <v>1.25</v>
      </c>
      <c r="G50" s="171" t="n">
        <f aca="false">Barrage[[#This Row],[Coefficient]]*Barrage[[#This Row],[Total Rounds]]*Barrage[[#This Row],[Base Damage]]</f>
        <v>300</v>
      </c>
      <c r="H50" s="175" t="s">
        <v>2612</v>
      </c>
      <c r="I50" s="114" t="n">
        <v>1.2</v>
      </c>
      <c r="J50" s="114" t="n">
        <v>0.6</v>
      </c>
      <c r="K50" s="114" t="n">
        <v>0.6</v>
      </c>
      <c r="L50" s="172"/>
      <c r="M50" s="173"/>
      <c r="N50" s="173"/>
      <c r="O50" s="173"/>
      <c r="P50" s="173"/>
      <c r="Q50" s="116"/>
      <c r="R50" s="0" t="s">
        <v>98</v>
      </c>
      <c r="T50" s="0" t="n">
        <v>1</v>
      </c>
    </row>
    <row r="51" customFormat="false" ht="14.4" hidden="false" customHeight="true" outlineLevel="0" collapsed="false">
      <c r="A51" s="0" t="s">
        <v>74</v>
      </c>
      <c r="B51" s="0" t="s">
        <v>861</v>
      </c>
      <c r="C51" s="0" t="s">
        <v>860</v>
      </c>
      <c r="D51" s="0" t="n">
        <v>12</v>
      </c>
      <c r="E51" s="0" t="n">
        <v>18</v>
      </c>
      <c r="F51" s="114" t="n">
        <v>1.25</v>
      </c>
      <c r="G51" s="171" t="n">
        <f aca="false">Barrage[[#This Row],[Coefficient]]*Barrage[[#This Row],[Total Rounds]]*Barrage[[#This Row],[Base Damage]]</f>
        <v>270</v>
      </c>
      <c r="H51" s="0" t="s">
        <v>2602</v>
      </c>
      <c r="I51" s="114" t="n">
        <v>1</v>
      </c>
      <c r="J51" s="114" t="n">
        <v>0.75</v>
      </c>
      <c r="K51" s="114" t="n">
        <v>0.4</v>
      </c>
      <c r="L51" s="172"/>
      <c r="M51" s="173"/>
      <c r="N51" s="173"/>
      <c r="O51" s="173"/>
      <c r="P51" s="173"/>
      <c r="Q51" s="116"/>
      <c r="R51" s="0" t="s">
        <v>98</v>
      </c>
      <c r="T51" s="0" t="n">
        <v>1</v>
      </c>
    </row>
    <row r="52" customFormat="false" ht="14.4" hidden="false" customHeight="true" outlineLevel="0" collapsed="false">
      <c r="A52" s="0" t="s">
        <v>74</v>
      </c>
      <c r="B52" s="0" t="s">
        <v>824</v>
      </c>
      <c r="C52" s="0" t="s">
        <v>2635</v>
      </c>
      <c r="D52" s="0" t="n">
        <v>10</v>
      </c>
      <c r="E52" s="0" t="n">
        <v>12</v>
      </c>
      <c r="F52" s="114" t="n">
        <v>1.25</v>
      </c>
      <c r="G52" s="171" t="n">
        <f aca="false">Barrage[[#This Row],[Coefficient]]*Barrage[[#This Row],[Total Rounds]]*Barrage[[#This Row],[Base Damage]]</f>
        <v>150</v>
      </c>
      <c r="H52" s="0" t="s">
        <v>2602</v>
      </c>
      <c r="I52" s="114" t="n">
        <v>1</v>
      </c>
      <c r="J52" s="114" t="n">
        <v>0.8</v>
      </c>
      <c r="K52" s="114" t="n">
        <v>0.6</v>
      </c>
      <c r="L52" s="172"/>
      <c r="M52" s="173"/>
      <c r="N52" s="173"/>
      <c r="O52" s="173"/>
      <c r="P52" s="173"/>
      <c r="Q52" s="116"/>
      <c r="R52" s="0" t="s">
        <v>98</v>
      </c>
      <c r="T52" s="0" t="n">
        <v>1</v>
      </c>
    </row>
    <row r="53" customFormat="false" ht="14.4" hidden="false" customHeight="true" outlineLevel="0" collapsed="false">
      <c r="A53" s="0" t="s">
        <v>74</v>
      </c>
      <c r="B53" s="0" t="s">
        <v>710</v>
      </c>
      <c r="C53" s="0" t="s">
        <v>2636</v>
      </c>
      <c r="D53" s="0" t="n">
        <v>10</v>
      </c>
      <c r="E53" s="0" t="n">
        <v>14</v>
      </c>
      <c r="F53" s="114" t="n">
        <v>1.25</v>
      </c>
      <c r="G53" s="171" t="n">
        <f aca="false">Barrage[[#This Row],[Coefficient]]*Barrage[[#This Row],[Total Rounds]]*Barrage[[#This Row],[Base Damage]]</f>
        <v>175</v>
      </c>
      <c r="H53" s="0" t="s">
        <v>2602</v>
      </c>
      <c r="I53" s="114" t="n">
        <v>1</v>
      </c>
      <c r="J53" s="114" t="n">
        <v>0.8</v>
      </c>
      <c r="K53" s="114" t="n">
        <v>0.6</v>
      </c>
      <c r="L53" s="172"/>
      <c r="M53" s="173"/>
      <c r="N53" s="173"/>
      <c r="O53" s="173"/>
      <c r="P53" s="173"/>
      <c r="Q53" s="116"/>
      <c r="R53" s="0" t="s">
        <v>98</v>
      </c>
      <c r="T53" s="0" t="n">
        <v>1</v>
      </c>
    </row>
    <row r="54" customFormat="false" ht="14.4" hidden="false" customHeight="true" outlineLevel="0" collapsed="false">
      <c r="A54" s="0" t="s">
        <v>74</v>
      </c>
      <c r="B54" s="0" t="s">
        <v>813</v>
      </c>
      <c r="C54" s="0" t="s">
        <v>811</v>
      </c>
      <c r="D54" s="0" t="n">
        <v>12</v>
      </c>
      <c r="E54" s="0" t="n">
        <v>32</v>
      </c>
      <c r="F54" s="114" t="n">
        <v>1</v>
      </c>
      <c r="G54" s="171" t="n">
        <f aca="false">Barrage[[#This Row],[Coefficient]]*Barrage[[#This Row],[Total Rounds]]*Barrage[[#This Row],[Base Damage]]</f>
        <v>384</v>
      </c>
      <c r="H54" s="175" t="s">
        <v>2612</v>
      </c>
      <c r="I54" s="114" t="n">
        <v>1.1</v>
      </c>
      <c r="J54" s="114" t="n">
        <v>0.6</v>
      </c>
      <c r="K54" s="114" t="n">
        <v>0.3</v>
      </c>
      <c r="L54" s="172" t="n">
        <v>0.01</v>
      </c>
      <c r="M54" s="173" t="n">
        <v>1</v>
      </c>
      <c r="N54" s="173"/>
      <c r="O54" s="173"/>
      <c r="P54" s="173"/>
      <c r="Q54" s="116"/>
      <c r="R54" s="0" t="s">
        <v>98</v>
      </c>
      <c r="T54" s="0" t="n">
        <v>1</v>
      </c>
    </row>
    <row r="55" customFormat="false" ht="14.4" hidden="false" customHeight="true" outlineLevel="0" collapsed="false">
      <c r="A55" s="0" t="s">
        <v>74</v>
      </c>
      <c r="B55" s="0" t="s">
        <v>814</v>
      </c>
      <c r="C55" s="0" t="s">
        <v>811</v>
      </c>
      <c r="D55" s="0" t="n">
        <v>78</v>
      </c>
      <c r="E55" s="0" t="n">
        <v>6</v>
      </c>
      <c r="F55" s="114" t="n">
        <v>1</v>
      </c>
      <c r="G55" s="171" t="n">
        <f aca="false">Barrage[[#This Row],[Coefficient]]*Barrage[[#This Row],[Total Rounds]]*Barrage[[#This Row],[Base Damage]]</f>
        <v>468</v>
      </c>
      <c r="H55" s="183" t="s">
        <v>2621</v>
      </c>
      <c r="I55" s="114" t="n">
        <v>0.8</v>
      </c>
      <c r="J55" s="114" t="n">
        <v>1</v>
      </c>
      <c r="K55" s="114" t="n">
        <v>1.3</v>
      </c>
      <c r="L55" s="172"/>
      <c r="M55" s="173"/>
      <c r="N55" s="173"/>
      <c r="O55" s="173"/>
      <c r="P55" s="173"/>
      <c r="Q55" s="116"/>
      <c r="R55" s="0" t="s">
        <v>99</v>
      </c>
      <c r="T55" s="0" t="n">
        <v>0.8</v>
      </c>
      <c r="U55" s="0" t="s">
        <v>2622</v>
      </c>
    </row>
    <row r="56" customFormat="false" ht="14.4" hidden="false" customHeight="true" outlineLevel="0" collapsed="false">
      <c r="A56" s="0" t="s">
        <v>74</v>
      </c>
      <c r="B56" s="0" t="s">
        <v>849</v>
      </c>
      <c r="C56" s="0" t="s">
        <v>847</v>
      </c>
      <c r="D56" s="0" t="n">
        <v>18</v>
      </c>
      <c r="E56" s="0" t="n">
        <v>32</v>
      </c>
      <c r="F56" s="114" t="n">
        <v>1.25</v>
      </c>
      <c r="G56" s="171" t="n">
        <f aca="false">Barrage[[#This Row],[Coefficient]]*Barrage[[#This Row],[Total Rounds]]*Barrage[[#This Row],[Base Damage]]</f>
        <v>720</v>
      </c>
      <c r="H56" s="0" t="s">
        <v>2602</v>
      </c>
      <c r="I56" s="114" t="n">
        <v>1.2</v>
      </c>
      <c r="J56" s="114" t="n">
        <v>0.6</v>
      </c>
      <c r="K56" s="114" t="n">
        <v>0.6</v>
      </c>
      <c r="L56" s="172"/>
      <c r="M56" s="173"/>
      <c r="N56" s="173"/>
      <c r="O56" s="173"/>
      <c r="P56" s="173"/>
      <c r="Q56" s="116"/>
      <c r="R56" s="0" t="s">
        <v>98</v>
      </c>
      <c r="T56" s="0" t="n">
        <v>1</v>
      </c>
    </row>
    <row r="57" customFormat="false" ht="14.4" hidden="false" customHeight="true" outlineLevel="0" collapsed="false">
      <c r="A57" s="0" t="s">
        <v>74</v>
      </c>
      <c r="B57" s="0" t="s">
        <v>850</v>
      </c>
      <c r="C57" s="0" t="s">
        <v>847</v>
      </c>
      <c r="D57" s="0" t="n">
        <v>45</v>
      </c>
      <c r="E57" s="0" t="n">
        <v>3</v>
      </c>
      <c r="F57" s="114" t="n">
        <v>1</v>
      </c>
      <c r="G57" s="171" t="n">
        <f aca="false">Barrage[[#This Row],[Coefficient]]*Barrage[[#This Row],[Total Rounds]]*Barrage[[#This Row],[Base Damage]]</f>
        <v>135</v>
      </c>
      <c r="H57" s="183" t="s">
        <v>2621</v>
      </c>
      <c r="I57" s="114" t="n">
        <v>0.7</v>
      </c>
      <c r="J57" s="114" t="n">
        <v>0.9</v>
      </c>
      <c r="K57" s="114" t="n">
        <v>1.2</v>
      </c>
      <c r="L57" s="172"/>
      <c r="M57" s="173"/>
      <c r="N57" s="173"/>
      <c r="O57" s="173"/>
      <c r="P57" s="173"/>
      <c r="Q57" s="116"/>
      <c r="R57" s="0" t="s">
        <v>99</v>
      </c>
      <c r="T57" s="0" t="n">
        <v>1</v>
      </c>
    </row>
    <row r="58" customFormat="false" ht="14.4" hidden="false" customHeight="true" outlineLevel="0" collapsed="false">
      <c r="A58" s="0" t="s">
        <v>74</v>
      </c>
      <c r="B58" s="0" t="s">
        <v>2637</v>
      </c>
      <c r="C58" s="0" t="s">
        <v>2587</v>
      </c>
      <c r="D58" s="0" t="n">
        <v>12</v>
      </c>
      <c r="E58" s="0" t="n">
        <v>18</v>
      </c>
      <c r="F58" s="114" t="n">
        <v>1</v>
      </c>
      <c r="G58" s="171" t="n">
        <f aca="false">Barrage[[#This Row],[Coefficient]]*Barrage[[#This Row],[Total Rounds]]*Barrage[[#This Row],[Base Damage]]</f>
        <v>216</v>
      </c>
      <c r="H58" s="0" t="s">
        <v>2602</v>
      </c>
      <c r="I58" s="114" t="n">
        <v>1</v>
      </c>
      <c r="J58" s="114" t="n">
        <v>0.75</v>
      </c>
      <c r="K58" s="114" t="n">
        <v>0.4</v>
      </c>
      <c r="L58" s="172"/>
      <c r="M58" s="173"/>
      <c r="N58" s="173"/>
      <c r="O58" s="173"/>
      <c r="P58" s="173"/>
      <c r="Q58" s="116"/>
      <c r="R58" s="0" t="s">
        <v>98</v>
      </c>
      <c r="T58" s="0" t="n">
        <v>1</v>
      </c>
    </row>
    <row r="59" customFormat="false" ht="14.4" hidden="false" customHeight="true" outlineLevel="0" collapsed="false">
      <c r="A59" s="162" t="s">
        <v>121</v>
      </c>
      <c r="B59" s="162" t="s">
        <v>1215</v>
      </c>
      <c r="C59" s="162" t="s">
        <v>2638</v>
      </c>
      <c r="D59" s="162" t="n">
        <v>20</v>
      </c>
      <c r="E59" s="162" t="n">
        <v>14</v>
      </c>
      <c r="F59" s="177" t="n">
        <v>1.25</v>
      </c>
      <c r="G59" s="171" t="n">
        <f aca="false">Barrage[[#This Row],[Coefficient]]*Barrage[[#This Row],[Total Rounds]]*Barrage[[#This Row],[Base Damage]]</f>
        <v>350</v>
      </c>
      <c r="H59" s="162" t="s">
        <v>2602</v>
      </c>
      <c r="I59" s="177" t="n">
        <v>1</v>
      </c>
      <c r="J59" s="177" t="n">
        <v>0.75</v>
      </c>
      <c r="K59" s="177" t="n">
        <v>0.4</v>
      </c>
      <c r="L59" s="179"/>
      <c r="M59" s="180"/>
      <c r="N59" s="180"/>
      <c r="O59" s="180"/>
      <c r="P59" s="180"/>
      <c r="Q59" s="181"/>
      <c r="R59" s="0" t="s">
        <v>98</v>
      </c>
      <c r="T59" s="0" t="n">
        <v>1</v>
      </c>
      <c r="U59" s="162"/>
    </row>
    <row r="60" customFormat="false" ht="14.4" hidden="false" customHeight="true" outlineLevel="0" collapsed="false">
      <c r="A60" s="0" t="s">
        <v>121</v>
      </c>
      <c r="B60" s="0" t="s">
        <v>1304</v>
      </c>
      <c r="C60" s="0" t="s">
        <v>2639</v>
      </c>
      <c r="D60" s="0" t="n">
        <v>20</v>
      </c>
      <c r="E60" s="0" t="n">
        <v>10</v>
      </c>
      <c r="F60" s="114" t="n">
        <v>1.25</v>
      </c>
      <c r="G60" s="171" t="n">
        <f aca="false">Barrage[[#This Row],[Coefficient]]*Barrage[[#This Row],[Total Rounds]]*Barrage[[#This Row],[Base Damage]]</f>
        <v>250</v>
      </c>
      <c r="H60" s="0" t="s">
        <v>2602</v>
      </c>
      <c r="I60" s="114" t="n">
        <v>1</v>
      </c>
      <c r="J60" s="114" t="n">
        <v>0.8</v>
      </c>
      <c r="K60" s="114" t="n">
        <v>0.6</v>
      </c>
      <c r="L60" s="172"/>
      <c r="M60" s="173"/>
      <c r="N60" s="173"/>
      <c r="O60" s="173"/>
      <c r="P60" s="173"/>
      <c r="Q60" s="116"/>
      <c r="R60" s="0" t="s">
        <v>98</v>
      </c>
      <c r="T60" s="0" t="n">
        <v>1</v>
      </c>
    </row>
    <row r="61" customFormat="false" ht="14.4" hidden="false" customHeight="true" outlineLevel="0" collapsed="false">
      <c r="A61" s="0" t="s">
        <v>121</v>
      </c>
      <c r="B61" s="0" t="s">
        <v>1128</v>
      </c>
      <c r="C61" s="0" t="s">
        <v>2640</v>
      </c>
      <c r="D61" s="0" t="n">
        <v>22</v>
      </c>
      <c r="E61" s="0" t="n">
        <v>20</v>
      </c>
      <c r="F61" s="114" t="n">
        <v>1.25</v>
      </c>
      <c r="G61" s="171" t="n">
        <f aca="false">Barrage[[#This Row],[Coefficient]]*Barrage[[#This Row],[Total Rounds]]*Barrage[[#This Row],[Base Damage]]</f>
        <v>550</v>
      </c>
      <c r="H61" s="0" t="s">
        <v>2602</v>
      </c>
      <c r="I61" s="114" t="n">
        <v>1</v>
      </c>
      <c r="J61" s="114" t="n">
        <v>0.75</v>
      </c>
      <c r="K61" s="114" t="n">
        <v>0.4</v>
      </c>
      <c r="L61" s="172"/>
      <c r="M61" s="173"/>
      <c r="N61" s="173"/>
      <c r="O61" s="173"/>
      <c r="P61" s="173"/>
      <c r="Q61" s="116"/>
      <c r="R61" s="0" t="s">
        <v>98</v>
      </c>
      <c r="T61" s="0" t="n">
        <v>1</v>
      </c>
    </row>
    <row r="62" customFormat="false" ht="14.4" hidden="false" customHeight="true" outlineLevel="0" collapsed="false">
      <c r="A62" s="0" t="s">
        <v>121</v>
      </c>
      <c r="B62" s="0" t="s">
        <v>1124</v>
      </c>
      <c r="C62" s="0" t="s">
        <v>2641</v>
      </c>
      <c r="D62" s="0" t="n">
        <v>10</v>
      </c>
      <c r="E62" s="0" t="n">
        <v>15</v>
      </c>
      <c r="F62" s="114" t="n">
        <v>1.25</v>
      </c>
      <c r="G62" s="171" t="n">
        <f aca="false">Barrage[[#This Row],[Coefficient]]*Barrage[[#This Row],[Total Rounds]]*Barrage[[#This Row],[Base Damage]]</f>
        <v>187.5</v>
      </c>
      <c r="H62" s="0" t="s">
        <v>2602</v>
      </c>
      <c r="I62" s="114" t="n">
        <v>1</v>
      </c>
      <c r="J62" s="114" t="n">
        <v>0.75</v>
      </c>
      <c r="K62" s="114" t="n">
        <v>0.4</v>
      </c>
      <c r="L62" s="172"/>
      <c r="M62" s="173"/>
      <c r="N62" s="173"/>
      <c r="O62" s="173"/>
      <c r="P62" s="173"/>
      <c r="Q62" s="116"/>
      <c r="R62" s="0" t="s">
        <v>98</v>
      </c>
      <c r="T62" s="0" t="n">
        <v>1</v>
      </c>
    </row>
    <row r="63" customFormat="false" ht="14.4" hidden="false" customHeight="true" outlineLevel="0" collapsed="false">
      <c r="A63" s="162" t="s">
        <v>121</v>
      </c>
      <c r="B63" s="162" t="s">
        <v>1193</v>
      </c>
      <c r="C63" s="162" t="s">
        <v>2642</v>
      </c>
      <c r="D63" s="162" t="n">
        <v>20</v>
      </c>
      <c r="E63" s="162" t="n">
        <v>15</v>
      </c>
      <c r="F63" s="177" t="n">
        <v>1.25</v>
      </c>
      <c r="G63" s="171" t="n">
        <f aca="false">Barrage[[#This Row],[Coefficient]]*Barrage[[#This Row],[Total Rounds]]*Barrage[[#This Row],[Base Damage]]</f>
        <v>375</v>
      </c>
      <c r="H63" s="162" t="s">
        <v>2602</v>
      </c>
      <c r="I63" s="177" t="n">
        <v>1</v>
      </c>
      <c r="J63" s="177" t="n">
        <v>0.75</v>
      </c>
      <c r="K63" s="177" t="n">
        <v>0.4</v>
      </c>
      <c r="L63" s="179"/>
      <c r="M63" s="180"/>
      <c r="N63" s="180"/>
      <c r="O63" s="180"/>
      <c r="P63" s="180"/>
      <c r="Q63" s="181"/>
      <c r="R63" s="0" t="s">
        <v>98</v>
      </c>
      <c r="T63" s="0" t="n">
        <v>1</v>
      </c>
      <c r="U63" s="162" t="s">
        <v>2625</v>
      </c>
    </row>
    <row r="64" customFormat="false" ht="14.4" hidden="false" customHeight="true" outlineLevel="0" collapsed="false">
      <c r="A64" s="0" t="s">
        <v>121</v>
      </c>
      <c r="B64" s="0" t="s">
        <v>1385</v>
      </c>
      <c r="C64" s="0" t="s">
        <v>2643</v>
      </c>
      <c r="D64" s="0" t="n">
        <v>18</v>
      </c>
      <c r="E64" s="0" t="n">
        <v>10</v>
      </c>
      <c r="F64" s="114" t="n">
        <v>1.25</v>
      </c>
      <c r="G64" s="171" t="n">
        <f aca="false">Barrage[[#This Row],[Coefficient]]*Barrage[[#This Row],[Total Rounds]]*Barrage[[#This Row],[Base Damage]]</f>
        <v>225</v>
      </c>
      <c r="H64" s="0" t="s">
        <v>2602</v>
      </c>
      <c r="I64" s="114" t="n">
        <v>1</v>
      </c>
      <c r="J64" s="114" t="n">
        <v>0.8</v>
      </c>
      <c r="K64" s="114" t="n">
        <v>0.6</v>
      </c>
      <c r="L64" s="172"/>
      <c r="M64" s="173"/>
      <c r="N64" s="173"/>
      <c r="O64" s="173"/>
      <c r="P64" s="173"/>
      <c r="Q64" s="116"/>
      <c r="R64" s="0" t="s">
        <v>98</v>
      </c>
      <c r="T64" s="0" t="n">
        <v>1</v>
      </c>
    </row>
    <row r="65" customFormat="false" ht="14.4" hidden="false" customHeight="true" outlineLevel="0" collapsed="false">
      <c r="A65" s="0" t="s">
        <v>121</v>
      </c>
      <c r="B65" s="0" t="s">
        <v>1161</v>
      </c>
      <c r="C65" s="0" t="s">
        <v>2644</v>
      </c>
      <c r="D65" s="0" t="n">
        <v>22</v>
      </c>
      <c r="E65" s="0" t="n">
        <v>16</v>
      </c>
      <c r="F65" s="114" t="n">
        <v>1.25</v>
      </c>
      <c r="G65" s="171" t="n">
        <f aca="false">Barrage[[#This Row],[Coefficient]]*Barrage[[#This Row],[Total Rounds]]*Barrage[[#This Row],[Base Damage]]</f>
        <v>440</v>
      </c>
      <c r="H65" s="0" t="s">
        <v>2602</v>
      </c>
      <c r="I65" s="114" t="n">
        <v>1</v>
      </c>
      <c r="J65" s="114" t="n">
        <v>0.75</v>
      </c>
      <c r="K65" s="114" t="n">
        <v>0.4</v>
      </c>
      <c r="L65" s="172"/>
      <c r="M65" s="173"/>
      <c r="N65" s="173"/>
      <c r="O65" s="173"/>
      <c r="P65" s="173"/>
      <c r="Q65" s="116"/>
      <c r="R65" s="0" t="s">
        <v>98</v>
      </c>
      <c r="T65" s="0" t="n">
        <v>1</v>
      </c>
    </row>
    <row r="66" customFormat="false" ht="14.4" hidden="false" customHeight="true" outlineLevel="0" collapsed="false">
      <c r="A66" s="0" t="s">
        <v>121</v>
      </c>
      <c r="B66" s="0" t="s">
        <v>1505</v>
      </c>
      <c r="C66" s="0" t="s">
        <v>1504</v>
      </c>
      <c r="D66" s="0" t="n">
        <v>20</v>
      </c>
      <c r="E66" s="0" t="n">
        <v>20</v>
      </c>
      <c r="F66" s="114" t="n">
        <v>1.25</v>
      </c>
      <c r="G66" s="171" t="n">
        <f aca="false">Barrage[[#This Row],[Coefficient]]*Barrage[[#This Row],[Total Rounds]]*Barrage[[#This Row],[Base Damage]]</f>
        <v>500</v>
      </c>
      <c r="H66" s="0" t="s">
        <v>2602</v>
      </c>
      <c r="I66" s="114" t="n">
        <v>1</v>
      </c>
      <c r="J66" s="114" t="n">
        <v>0.9</v>
      </c>
      <c r="K66" s="114" t="n">
        <v>0.5</v>
      </c>
      <c r="L66" s="172"/>
      <c r="M66" s="173"/>
      <c r="N66" s="173"/>
      <c r="O66" s="173"/>
      <c r="P66" s="173"/>
      <c r="Q66" s="116"/>
      <c r="R66" s="0" t="s">
        <v>98</v>
      </c>
      <c r="T66" s="0" t="n">
        <v>1</v>
      </c>
    </row>
    <row r="67" customFormat="false" ht="14.4" hidden="false" customHeight="true" outlineLevel="0" collapsed="false">
      <c r="A67" s="162" t="s">
        <v>121</v>
      </c>
      <c r="B67" s="162" t="s">
        <v>1175</v>
      </c>
      <c r="C67" s="162" t="s">
        <v>2645</v>
      </c>
      <c r="D67" s="162" t="n">
        <v>20</v>
      </c>
      <c r="E67" s="162" t="n">
        <v>24</v>
      </c>
      <c r="F67" s="177" t="n">
        <v>1.25</v>
      </c>
      <c r="G67" s="171" t="n">
        <f aca="false">Barrage[[#This Row],[Coefficient]]*Barrage[[#This Row],[Total Rounds]]*Barrage[[#This Row],[Base Damage]]</f>
        <v>600</v>
      </c>
      <c r="H67" s="162" t="s">
        <v>2602</v>
      </c>
      <c r="I67" s="177" t="n">
        <v>1</v>
      </c>
      <c r="J67" s="177" t="n">
        <v>0.75</v>
      </c>
      <c r="K67" s="177" t="n">
        <v>0.4</v>
      </c>
      <c r="L67" s="179"/>
      <c r="M67" s="180"/>
      <c r="N67" s="180"/>
      <c r="O67" s="180"/>
      <c r="P67" s="180"/>
      <c r="Q67" s="181"/>
      <c r="R67" s="0" t="s">
        <v>98</v>
      </c>
      <c r="T67" s="0" t="n">
        <v>1</v>
      </c>
      <c r="U67" s="162" t="s">
        <v>2625</v>
      </c>
    </row>
    <row r="68" customFormat="false" ht="14.4" hidden="false" customHeight="true" outlineLevel="0" collapsed="false">
      <c r="A68" s="0" t="s">
        <v>121</v>
      </c>
      <c r="B68" s="0" t="s">
        <v>1140</v>
      </c>
      <c r="C68" s="0" t="s">
        <v>2646</v>
      </c>
      <c r="D68" s="0" t="n">
        <v>22</v>
      </c>
      <c r="E68" s="0" t="n">
        <v>14</v>
      </c>
      <c r="F68" s="114" t="n">
        <v>1.25</v>
      </c>
      <c r="G68" s="171" t="n">
        <f aca="false">Barrage[[#This Row],[Coefficient]]*Barrage[[#This Row],[Total Rounds]]*Barrage[[#This Row],[Base Damage]]</f>
        <v>385</v>
      </c>
      <c r="H68" s="0" t="s">
        <v>2602</v>
      </c>
      <c r="I68" s="177" t="n">
        <v>1</v>
      </c>
      <c r="J68" s="177" t="n">
        <v>0.75</v>
      </c>
      <c r="K68" s="177" t="n">
        <v>0.4</v>
      </c>
      <c r="L68" s="172"/>
      <c r="M68" s="173"/>
      <c r="N68" s="173"/>
      <c r="O68" s="173"/>
      <c r="P68" s="173"/>
      <c r="Q68" s="116"/>
      <c r="R68" s="0" t="s">
        <v>98</v>
      </c>
      <c r="T68" s="0" t="n">
        <v>1</v>
      </c>
    </row>
    <row r="69" customFormat="false" ht="14.4" hidden="false" customHeight="true" outlineLevel="0" collapsed="false">
      <c r="A69" s="0" t="s">
        <v>121</v>
      </c>
      <c r="B69" s="0" t="s">
        <v>1144</v>
      </c>
      <c r="C69" s="0" t="s">
        <v>2647</v>
      </c>
      <c r="D69" s="0" t="n">
        <v>20</v>
      </c>
      <c r="E69" s="0" t="n">
        <v>20</v>
      </c>
      <c r="F69" s="114" t="n">
        <v>1.25</v>
      </c>
      <c r="G69" s="171" t="n">
        <f aca="false">Barrage[[#This Row],[Coefficient]]*Barrage[[#This Row],[Total Rounds]]*Barrage[[#This Row],[Base Damage]]</f>
        <v>500</v>
      </c>
      <c r="H69" s="0" t="s">
        <v>2602</v>
      </c>
      <c r="I69" s="177" t="n">
        <v>1</v>
      </c>
      <c r="J69" s="177" t="n">
        <v>0.75</v>
      </c>
      <c r="K69" s="177" t="n">
        <v>0.4</v>
      </c>
      <c r="L69" s="172"/>
      <c r="M69" s="173"/>
      <c r="N69" s="173"/>
      <c r="O69" s="173"/>
      <c r="P69" s="173"/>
      <c r="Q69" s="116"/>
      <c r="R69" s="0" t="s">
        <v>98</v>
      </c>
      <c r="T69" s="0" t="n">
        <v>1</v>
      </c>
    </row>
    <row r="70" customFormat="false" ht="14.4" hidden="false" customHeight="true" outlineLevel="0" collapsed="false">
      <c r="A70" s="0" t="s">
        <v>121</v>
      </c>
      <c r="B70" s="0" t="s">
        <v>1331</v>
      </c>
      <c r="C70" s="0" t="s">
        <v>1330</v>
      </c>
      <c r="D70" s="0" t="n">
        <v>20</v>
      </c>
      <c r="E70" s="0" t="n">
        <v>10</v>
      </c>
      <c r="F70" s="114" t="n">
        <v>1.25</v>
      </c>
      <c r="G70" s="171" t="n">
        <f aca="false">Barrage[[#This Row],[Coefficient]]*Barrage[[#This Row],[Total Rounds]]*Barrage[[#This Row],[Base Damage]]</f>
        <v>250</v>
      </c>
      <c r="H70" s="0" t="s">
        <v>2602</v>
      </c>
      <c r="I70" s="114" t="n">
        <v>1</v>
      </c>
      <c r="J70" s="114" t="n">
        <v>0.8</v>
      </c>
      <c r="K70" s="114" t="n">
        <v>0.6</v>
      </c>
      <c r="L70" s="172"/>
      <c r="M70" s="173"/>
      <c r="N70" s="173"/>
      <c r="O70" s="173"/>
      <c r="P70" s="173"/>
      <c r="Q70" s="116"/>
      <c r="R70" s="0" t="s">
        <v>98</v>
      </c>
      <c r="T70" s="0" t="n">
        <v>1</v>
      </c>
    </row>
    <row r="71" customFormat="false" ht="14.4" hidden="false" customHeight="true" outlineLevel="0" collapsed="false">
      <c r="A71" s="0" t="s">
        <v>121</v>
      </c>
      <c r="B71" s="0" t="s">
        <v>1168</v>
      </c>
      <c r="C71" s="0" t="s">
        <v>1167</v>
      </c>
      <c r="D71" s="0" t="n">
        <v>26</v>
      </c>
      <c r="E71" s="0" t="n">
        <v>24</v>
      </c>
      <c r="F71" s="114" t="n">
        <v>1.25</v>
      </c>
      <c r="G71" s="171" t="n">
        <f aca="false">Barrage[[#This Row],[Coefficient]]*Barrage[[#This Row],[Total Rounds]]*Barrage[[#This Row],[Base Damage]]</f>
        <v>780</v>
      </c>
      <c r="H71" s="0" t="s">
        <v>2602</v>
      </c>
      <c r="I71" s="114" t="n">
        <v>1</v>
      </c>
      <c r="J71" s="114" t="n">
        <v>0.75</v>
      </c>
      <c r="K71" s="114" t="n">
        <v>0.4</v>
      </c>
      <c r="L71" s="172"/>
      <c r="M71" s="173"/>
      <c r="N71" s="173"/>
      <c r="O71" s="173"/>
      <c r="P71" s="173"/>
      <c r="Q71" s="116"/>
      <c r="R71" s="0" t="s">
        <v>98</v>
      </c>
      <c r="T71" s="0" t="n">
        <v>1</v>
      </c>
    </row>
    <row r="72" customFormat="false" ht="14.4" hidden="false" customHeight="true" outlineLevel="0" collapsed="false">
      <c r="A72" s="0" t="s">
        <v>121</v>
      </c>
      <c r="B72" s="0" t="s">
        <v>1156</v>
      </c>
      <c r="C72" s="0" t="s">
        <v>1154</v>
      </c>
      <c r="D72" s="0" t="n">
        <v>30</v>
      </c>
      <c r="E72" s="0" t="n">
        <v>10</v>
      </c>
      <c r="F72" s="114" t="n">
        <v>1.25</v>
      </c>
      <c r="G72" s="171" t="n">
        <f aca="false">Barrage[[#This Row],[Coefficient]]*Barrage[[#This Row],[Total Rounds]]*Barrage[[#This Row],[Base Damage]]</f>
        <v>375</v>
      </c>
      <c r="H72" s="0" t="s">
        <v>2602</v>
      </c>
      <c r="I72" s="114" t="n">
        <v>1</v>
      </c>
      <c r="J72" s="114" t="n">
        <v>0.8</v>
      </c>
      <c r="K72" s="114" t="n">
        <v>0.6</v>
      </c>
      <c r="L72" s="172"/>
      <c r="M72" s="173"/>
      <c r="N72" s="173"/>
      <c r="O72" s="173"/>
      <c r="P72" s="173"/>
      <c r="Q72" s="116"/>
      <c r="R72" s="0" t="s">
        <v>98</v>
      </c>
      <c r="T72" s="0" t="n">
        <v>1</v>
      </c>
      <c r="U72" s="0" t="s">
        <v>2625</v>
      </c>
    </row>
    <row r="73" customFormat="false" ht="14.4" hidden="false" customHeight="true" outlineLevel="0" collapsed="false">
      <c r="A73" s="0" t="s">
        <v>121</v>
      </c>
      <c r="B73" s="0" t="s">
        <v>1500</v>
      </c>
      <c r="C73" s="0" t="s">
        <v>1499</v>
      </c>
      <c r="D73" s="0" t="n">
        <v>18</v>
      </c>
      <c r="E73" s="0" t="n">
        <v>22</v>
      </c>
      <c r="F73" s="114" t="n">
        <v>1.25</v>
      </c>
      <c r="G73" s="171" t="n">
        <f aca="false">Barrage[[#This Row],[Coefficient]]*Barrage[[#This Row],[Total Rounds]]*Barrage[[#This Row],[Base Damage]]</f>
        <v>495</v>
      </c>
      <c r="H73" s="175" t="s">
        <v>2612</v>
      </c>
      <c r="I73" s="114" t="n">
        <v>1.4</v>
      </c>
      <c r="J73" s="114" t="n">
        <v>0.9</v>
      </c>
      <c r="K73" s="114" t="n">
        <v>0.7</v>
      </c>
      <c r="L73" s="172" t="n">
        <v>0.03</v>
      </c>
      <c r="M73" s="173" t="n">
        <v>2</v>
      </c>
      <c r="N73" s="173"/>
      <c r="O73" s="173"/>
      <c r="P73" s="173"/>
      <c r="Q73" s="116"/>
      <c r="R73" s="0" t="s">
        <v>98</v>
      </c>
      <c r="T73" s="0" t="n">
        <v>1</v>
      </c>
      <c r="U73" s="0" t="s">
        <v>2625</v>
      </c>
    </row>
    <row r="74" customFormat="false" ht="14.4" hidden="false" customHeight="true" outlineLevel="0" collapsed="false">
      <c r="A74" s="0" t="s">
        <v>121</v>
      </c>
      <c r="B74" s="0" t="s">
        <v>1293</v>
      </c>
      <c r="C74" s="0" t="s">
        <v>2648</v>
      </c>
      <c r="D74" s="0" t="n">
        <v>20</v>
      </c>
      <c r="E74" s="0" t="n">
        <v>36</v>
      </c>
      <c r="F74" s="114" t="n">
        <v>1.25</v>
      </c>
      <c r="G74" s="171" t="n">
        <f aca="false">Barrage[[#This Row],[Coefficient]]*Barrage[[#This Row],[Total Rounds]]*Barrage[[#This Row],[Base Damage]]</f>
        <v>900</v>
      </c>
      <c r="H74" s="0" t="s">
        <v>2602</v>
      </c>
      <c r="I74" s="114" t="n">
        <v>1</v>
      </c>
      <c r="J74" s="114" t="n">
        <v>0.5</v>
      </c>
      <c r="K74" s="114" t="n">
        <v>0.2</v>
      </c>
      <c r="L74" s="172"/>
      <c r="M74" s="173"/>
      <c r="N74" s="173"/>
      <c r="O74" s="173"/>
      <c r="P74" s="173"/>
      <c r="Q74" s="116"/>
      <c r="R74" s="0" t="s">
        <v>98</v>
      </c>
      <c r="T74" s="0" t="n">
        <v>1</v>
      </c>
    </row>
    <row r="75" customFormat="false" ht="14.4" hidden="false" customHeight="true" outlineLevel="0" collapsed="false">
      <c r="A75" s="0" t="s">
        <v>121</v>
      </c>
      <c r="B75" s="0" t="s">
        <v>1252</v>
      </c>
      <c r="C75" s="0" t="s">
        <v>2649</v>
      </c>
      <c r="D75" s="0" t="n">
        <v>22</v>
      </c>
      <c r="E75" s="0" t="n">
        <v>27</v>
      </c>
      <c r="F75" s="114" t="n">
        <v>1.25</v>
      </c>
      <c r="G75" s="171" t="n">
        <f aca="false">Barrage[[#This Row],[Coefficient]]*Barrage[[#This Row],[Total Rounds]]*Barrage[[#This Row],[Base Damage]]</f>
        <v>742.5</v>
      </c>
      <c r="H75" s="0" t="s">
        <v>2602</v>
      </c>
      <c r="I75" s="114" t="n">
        <v>1.05</v>
      </c>
      <c r="J75" s="114" t="n">
        <v>0.8</v>
      </c>
      <c r="K75" s="114" t="n">
        <v>0.45</v>
      </c>
      <c r="L75" s="172"/>
      <c r="M75" s="173"/>
      <c r="N75" s="173"/>
      <c r="O75" s="173"/>
      <c r="P75" s="173"/>
      <c r="Q75" s="116"/>
      <c r="R75" s="0" t="s">
        <v>98</v>
      </c>
      <c r="T75" s="0" t="n">
        <v>1</v>
      </c>
    </row>
    <row r="76" customFormat="false" ht="14.4" hidden="false" customHeight="true" outlineLevel="0" collapsed="false">
      <c r="A76" s="0" t="s">
        <v>121</v>
      </c>
      <c r="B76" s="0" t="s">
        <v>1258</v>
      </c>
      <c r="C76" s="0" t="s">
        <v>2650</v>
      </c>
      <c r="D76" s="0" t="n">
        <v>22</v>
      </c>
      <c r="E76" s="0" t="n">
        <v>24</v>
      </c>
      <c r="F76" s="114" t="n">
        <v>1.25</v>
      </c>
      <c r="G76" s="171" t="n">
        <f aca="false">Barrage[[#This Row],[Coefficient]]*Barrage[[#This Row],[Total Rounds]]*Barrage[[#This Row],[Base Damage]]</f>
        <v>660</v>
      </c>
      <c r="H76" s="0" t="s">
        <v>2602</v>
      </c>
      <c r="I76" s="114" t="n">
        <v>1.1</v>
      </c>
      <c r="J76" s="114" t="n">
        <v>0.85</v>
      </c>
      <c r="K76" s="114" t="n">
        <v>0.5</v>
      </c>
      <c r="L76" s="172"/>
      <c r="M76" s="173"/>
      <c r="N76" s="173"/>
      <c r="O76" s="173"/>
      <c r="P76" s="173"/>
      <c r="Q76" s="116"/>
      <c r="R76" s="0" t="s">
        <v>98</v>
      </c>
      <c r="T76" s="0" t="n">
        <v>1</v>
      </c>
    </row>
    <row r="77" customFormat="false" ht="14.4" hidden="false" customHeight="true" outlineLevel="0" collapsed="false">
      <c r="A77" s="0" t="s">
        <v>121</v>
      </c>
      <c r="B77" s="0" t="s">
        <v>1134</v>
      </c>
      <c r="C77" s="0" t="s">
        <v>1133</v>
      </c>
      <c r="D77" s="0" t="n">
        <v>20</v>
      </c>
      <c r="E77" s="0" t="n">
        <v>24</v>
      </c>
      <c r="F77" s="114" t="n">
        <v>1.25</v>
      </c>
      <c r="G77" s="171" t="n">
        <f aca="false">Barrage[[#This Row],[Coefficient]]*Barrage[[#This Row],[Total Rounds]]*Barrage[[#This Row],[Base Damage]]</f>
        <v>600</v>
      </c>
      <c r="H77" s="175" t="s">
        <v>2612</v>
      </c>
      <c r="I77" s="114" t="n">
        <v>1</v>
      </c>
      <c r="J77" s="114" t="n">
        <v>0.9</v>
      </c>
      <c r="K77" s="114" t="n">
        <v>0.7</v>
      </c>
      <c r="L77" s="172" t="n">
        <v>0.03</v>
      </c>
      <c r="M77" s="173" t="n">
        <v>2</v>
      </c>
      <c r="N77" s="173"/>
      <c r="O77" s="173"/>
      <c r="P77" s="173"/>
      <c r="Q77" s="116"/>
      <c r="R77" s="0" t="s">
        <v>98</v>
      </c>
      <c r="T77" s="0" t="n">
        <v>1</v>
      </c>
    </row>
    <row r="78" customFormat="false" ht="14.4" hidden="false" customHeight="true" outlineLevel="0" collapsed="false">
      <c r="A78" s="0" t="s">
        <v>121</v>
      </c>
      <c r="B78" s="0" t="s">
        <v>1353</v>
      </c>
      <c r="C78" s="0" t="s">
        <v>2651</v>
      </c>
      <c r="D78" s="0" t="n">
        <v>18</v>
      </c>
      <c r="E78" s="0" t="n">
        <v>15</v>
      </c>
      <c r="F78" s="114" t="n">
        <v>1</v>
      </c>
      <c r="G78" s="171" t="n">
        <f aca="false">Barrage[[#This Row],[Coefficient]]*Barrage[[#This Row],[Total Rounds]]*Barrage[[#This Row],[Base Damage]]</f>
        <v>270</v>
      </c>
      <c r="H78" s="175" t="s">
        <v>2612</v>
      </c>
      <c r="I78" s="114" t="n">
        <v>1.2</v>
      </c>
      <c r="J78" s="114" t="n">
        <v>0.8</v>
      </c>
      <c r="K78" s="114" t="n">
        <v>0.6</v>
      </c>
      <c r="L78" s="172" t="n">
        <v>0.03</v>
      </c>
      <c r="M78" s="173" t="n">
        <v>2</v>
      </c>
      <c r="N78" s="173"/>
      <c r="O78" s="173"/>
      <c r="P78" s="173"/>
      <c r="Q78" s="116"/>
      <c r="R78" s="0" t="s">
        <v>98</v>
      </c>
      <c r="T78" s="0" t="n">
        <v>1</v>
      </c>
    </row>
    <row r="79" customFormat="false" ht="14.4" hidden="false" customHeight="true" outlineLevel="0" collapsed="false">
      <c r="A79" s="0" t="s">
        <v>121</v>
      </c>
      <c r="B79" s="0" t="s">
        <v>1372</v>
      </c>
      <c r="C79" s="0" t="s">
        <v>2652</v>
      </c>
      <c r="D79" s="0" t="n">
        <v>20</v>
      </c>
      <c r="E79" s="0" t="n">
        <v>64</v>
      </c>
      <c r="F79" s="114" t="n">
        <v>1.1</v>
      </c>
      <c r="G79" s="171" t="n">
        <f aca="false">Barrage[[#This Row],[Coefficient]]*Barrage[[#This Row],[Total Rounds]]*Barrage[[#This Row],[Base Damage]]</f>
        <v>1408</v>
      </c>
      <c r="H79" s="174" t="s">
        <v>2611</v>
      </c>
      <c r="I79" s="114" t="n">
        <v>1</v>
      </c>
      <c r="J79" s="114" t="n">
        <v>0.8</v>
      </c>
      <c r="K79" s="114" t="n">
        <v>0.6</v>
      </c>
      <c r="L79" s="172"/>
      <c r="M79" s="173"/>
      <c r="N79" s="173"/>
      <c r="O79" s="173"/>
      <c r="P79" s="173"/>
      <c r="Q79" s="116" t="n">
        <v>0</v>
      </c>
      <c r="R79" s="0" t="s">
        <v>98</v>
      </c>
      <c r="T79" s="0" t="n">
        <v>1</v>
      </c>
      <c r="U79" s="0" t="s">
        <v>2623</v>
      </c>
    </row>
    <row r="80" customFormat="false" ht="14.4" hidden="false" customHeight="true" outlineLevel="0" collapsed="false">
      <c r="A80" s="0" t="s">
        <v>121</v>
      </c>
      <c r="B80" s="0" t="s">
        <v>1240</v>
      </c>
      <c r="C80" s="0" t="s">
        <v>1239</v>
      </c>
      <c r="D80" s="0" t="n">
        <v>18</v>
      </c>
      <c r="E80" s="0" t="n">
        <v>20</v>
      </c>
      <c r="F80" s="114" t="n">
        <v>1.25</v>
      </c>
      <c r="G80" s="171" t="n">
        <f aca="false">Barrage[[#This Row],[Coefficient]]*Barrage[[#This Row],[Total Rounds]]*Barrage[[#This Row],[Base Damage]]</f>
        <v>450</v>
      </c>
      <c r="H80" s="0" t="s">
        <v>2602</v>
      </c>
      <c r="I80" s="114" t="n">
        <v>1</v>
      </c>
      <c r="J80" s="114" t="n">
        <v>0.8</v>
      </c>
      <c r="K80" s="114" t="n">
        <v>0.6</v>
      </c>
      <c r="L80" s="172"/>
      <c r="M80" s="173"/>
      <c r="N80" s="173"/>
      <c r="O80" s="173"/>
      <c r="P80" s="173"/>
      <c r="Q80" s="116"/>
      <c r="R80" s="0" t="s">
        <v>98</v>
      </c>
      <c r="T80" s="0" t="n">
        <v>1</v>
      </c>
    </row>
    <row r="81" customFormat="false" ht="14.4" hidden="false" customHeight="true" outlineLevel="0" collapsed="false">
      <c r="A81" s="0" t="s">
        <v>121</v>
      </c>
      <c r="B81" s="0" t="s">
        <v>1439</v>
      </c>
      <c r="C81" s="0" t="s">
        <v>392</v>
      </c>
      <c r="D81" s="0" t="n">
        <v>22</v>
      </c>
      <c r="E81" s="0" t="n">
        <v>20</v>
      </c>
      <c r="F81" s="114" t="n">
        <v>1.25</v>
      </c>
      <c r="G81" s="171" t="n">
        <f aca="false">Barrage[[#This Row],[Coefficient]]*Barrage[[#This Row],[Total Rounds]]*Barrage[[#This Row],[Base Damage]]</f>
        <v>550</v>
      </c>
      <c r="H81" s="0" t="s">
        <v>2602</v>
      </c>
      <c r="I81" s="114" t="n">
        <v>1</v>
      </c>
      <c r="J81" s="114" t="n">
        <v>0.75</v>
      </c>
      <c r="K81" s="114" t="n">
        <v>0.4</v>
      </c>
      <c r="L81" s="172"/>
      <c r="M81" s="173"/>
      <c r="N81" s="173"/>
      <c r="O81" s="173"/>
      <c r="P81" s="173"/>
      <c r="Q81" s="116"/>
      <c r="R81" s="0" t="s">
        <v>98</v>
      </c>
      <c r="T81" s="0" t="n">
        <v>1</v>
      </c>
      <c r="U81" s="0" t="s">
        <v>2625</v>
      </c>
    </row>
    <row r="82" customFormat="false" ht="14.4" hidden="false" customHeight="true" outlineLevel="0" collapsed="false">
      <c r="A82" s="0" t="s">
        <v>121</v>
      </c>
      <c r="B82" s="0" t="s">
        <v>1219</v>
      </c>
      <c r="C82" s="0" t="s">
        <v>2653</v>
      </c>
      <c r="D82" s="0" t="n">
        <v>22</v>
      </c>
      <c r="E82" s="0" t="n">
        <v>15</v>
      </c>
      <c r="F82" s="114" t="n">
        <v>1.25</v>
      </c>
      <c r="G82" s="171" t="n">
        <f aca="false">Barrage[[#This Row],[Coefficient]]*Barrage[[#This Row],[Total Rounds]]*Barrage[[#This Row],[Base Damage]]</f>
        <v>412.5</v>
      </c>
      <c r="H82" s="0" t="s">
        <v>2602</v>
      </c>
      <c r="I82" s="114" t="n">
        <v>1</v>
      </c>
      <c r="J82" s="114" t="n">
        <v>1</v>
      </c>
      <c r="K82" s="114" t="n">
        <v>1</v>
      </c>
      <c r="L82" s="172"/>
      <c r="M82" s="173"/>
      <c r="N82" s="173"/>
      <c r="O82" s="173"/>
      <c r="P82" s="173"/>
      <c r="Q82" s="116"/>
      <c r="R82" s="0" t="s">
        <v>98</v>
      </c>
      <c r="T82" s="0" t="n">
        <v>1</v>
      </c>
    </row>
    <row r="83" customFormat="false" ht="14.4" hidden="false" customHeight="true" outlineLevel="0" collapsed="false">
      <c r="A83" s="0" t="s">
        <v>121</v>
      </c>
      <c r="B83" s="0" t="s">
        <v>1478</v>
      </c>
      <c r="C83" s="0" t="s">
        <v>1477</v>
      </c>
      <c r="D83" s="0" t="n">
        <v>34</v>
      </c>
      <c r="E83" s="0" t="n">
        <v>20</v>
      </c>
      <c r="F83" s="114" t="n">
        <v>1.25</v>
      </c>
      <c r="G83" s="171" t="n">
        <f aca="false">Barrage[[#This Row],[Coefficient]]*Barrage[[#This Row],[Total Rounds]]*Barrage[[#This Row],[Base Damage]]</f>
        <v>850</v>
      </c>
      <c r="H83" s="0" t="s">
        <v>2602</v>
      </c>
      <c r="I83" s="114" t="n">
        <v>1</v>
      </c>
      <c r="J83" s="114" t="n">
        <v>0.8</v>
      </c>
      <c r="K83" s="114" t="n">
        <v>0.6</v>
      </c>
      <c r="L83" s="172"/>
      <c r="M83" s="173"/>
      <c r="N83" s="173"/>
      <c r="O83" s="173"/>
      <c r="P83" s="173"/>
      <c r="Q83" s="116"/>
      <c r="R83" s="0" t="s">
        <v>98</v>
      </c>
      <c r="T83" s="0" t="n">
        <v>1</v>
      </c>
    </row>
    <row r="84" customFormat="false" ht="14.4" hidden="false" customHeight="true" outlineLevel="0" collapsed="false">
      <c r="A84" s="0" t="s">
        <v>121</v>
      </c>
      <c r="B84" s="0" t="s">
        <v>1453</v>
      </c>
      <c r="C84" s="0" t="s">
        <v>1452</v>
      </c>
      <c r="D84" s="0" t="n">
        <v>20</v>
      </c>
      <c r="E84" s="0" t="n">
        <v>36</v>
      </c>
      <c r="F84" s="114" t="n">
        <v>1</v>
      </c>
      <c r="G84" s="171" t="n">
        <f aca="false">Barrage[[#This Row],[Coefficient]]*Barrage[[#This Row],[Total Rounds]]*Barrage[[#This Row],[Base Damage]]</f>
        <v>720</v>
      </c>
      <c r="H84" s="175" t="s">
        <v>2612</v>
      </c>
      <c r="I84" s="114" t="n">
        <v>1.1</v>
      </c>
      <c r="J84" s="114" t="n">
        <v>0.9</v>
      </c>
      <c r="K84" s="114" t="n">
        <v>0.7</v>
      </c>
      <c r="L84" s="172"/>
      <c r="M84" s="173"/>
      <c r="N84" s="173"/>
      <c r="O84" s="173"/>
      <c r="P84" s="173"/>
      <c r="Q84" s="116"/>
      <c r="R84" s="0" t="s">
        <v>98</v>
      </c>
      <c r="T84" s="0" t="n">
        <v>1</v>
      </c>
    </row>
    <row r="85" customFormat="false" ht="14.4" hidden="false" customHeight="true" outlineLevel="0" collapsed="false">
      <c r="A85" s="0" t="s">
        <v>394</v>
      </c>
      <c r="B85" s="0" t="s">
        <v>1494</v>
      </c>
      <c r="C85" s="0" t="s">
        <v>1493</v>
      </c>
      <c r="D85" s="0" t="n">
        <v>34</v>
      </c>
      <c r="E85" s="0" t="n">
        <v>18</v>
      </c>
      <c r="F85" s="114" t="n">
        <v>1.25</v>
      </c>
      <c r="G85" s="171" t="n">
        <f aca="false">Barrage[[#This Row],[Coefficient]]*Barrage[[#This Row],[Total Rounds]]*Barrage[[#This Row],[Base Damage]]</f>
        <v>765</v>
      </c>
      <c r="H85" s="174" t="s">
        <v>2611</v>
      </c>
      <c r="I85" s="114" t="n">
        <v>1</v>
      </c>
      <c r="J85" s="114" t="n">
        <v>0.8</v>
      </c>
      <c r="K85" s="114" t="n">
        <v>0.6</v>
      </c>
      <c r="L85" s="172"/>
      <c r="M85" s="173"/>
      <c r="N85" s="173"/>
      <c r="O85" s="173"/>
      <c r="P85" s="173"/>
      <c r="Q85" s="116" t="n">
        <v>0</v>
      </c>
      <c r="R85" s="0" t="s">
        <v>98</v>
      </c>
      <c r="T85" s="0" t="n">
        <v>1</v>
      </c>
    </row>
    <row r="86" customFormat="false" ht="14.4" hidden="false" customHeight="true" outlineLevel="0" collapsed="false">
      <c r="A86" s="0" t="s">
        <v>394</v>
      </c>
      <c r="B86" s="0" t="s">
        <v>1624</v>
      </c>
      <c r="C86" s="0" t="s">
        <v>2654</v>
      </c>
      <c r="D86" s="0" t="n">
        <v>38</v>
      </c>
      <c r="E86" s="0" t="n">
        <v>6</v>
      </c>
      <c r="F86" s="114" t="n">
        <v>1</v>
      </c>
      <c r="G86" s="171" t="n">
        <f aca="false">Barrage[[#This Row],[Coefficient]]*Barrage[[#This Row],[Total Rounds]]*Barrage[[#This Row],[Base Damage]]</f>
        <v>228</v>
      </c>
      <c r="H86" s="175" t="s">
        <v>2612</v>
      </c>
      <c r="I86" s="114" t="n">
        <v>1</v>
      </c>
      <c r="J86" s="114" t="n">
        <v>0.8</v>
      </c>
      <c r="K86" s="114" t="n">
        <v>0.6</v>
      </c>
      <c r="L86" s="172" t="n">
        <v>0.3</v>
      </c>
      <c r="M86" s="173" t="n">
        <v>1</v>
      </c>
      <c r="N86" s="173"/>
      <c r="O86" s="173"/>
      <c r="P86" s="173"/>
      <c r="Q86" s="116"/>
      <c r="R86" s="0" t="s">
        <v>98</v>
      </c>
      <c r="T86" s="0" t="n">
        <v>1</v>
      </c>
    </row>
    <row r="87" customFormat="false" ht="14.4" hidden="false" customHeight="true" outlineLevel="0" collapsed="false">
      <c r="A87" s="0" t="s">
        <v>394</v>
      </c>
      <c r="B87" s="0" t="s">
        <v>1536</v>
      </c>
      <c r="C87" s="0" t="s">
        <v>2655</v>
      </c>
      <c r="D87" s="0" t="n">
        <v>38</v>
      </c>
      <c r="E87" s="0" t="n">
        <v>6</v>
      </c>
      <c r="F87" s="114" t="n">
        <v>1</v>
      </c>
      <c r="G87" s="171" t="n">
        <f aca="false">Barrage[[#This Row],[Coefficient]]*Barrage[[#This Row],[Total Rounds]]*Barrage[[#This Row],[Base Damage]]</f>
        <v>228</v>
      </c>
      <c r="H87" s="175" t="s">
        <v>2612</v>
      </c>
      <c r="I87" s="114" t="n">
        <v>1</v>
      </c>
      <c r="J87" s="114" t="n">
        <v>0.8</v>
      </c>
      <c r="K87" s="114" t="n">
        <v>0.6</v>
      </c>
      <c r="L87" s="172" t="n">
        <v>0.3</v>
      </c>
      <c r="M87" s="173" t="n">
        <v>2</v>
      </c>
      <c r="N87" s="173"/>
      <c r="O87" s="173"/>
      <c r="P87" s="173"/>
      <c r="Q87" s="116"/>
      <c r="R87" s="0" t="s">
        <v>98</v>
      </c>
      <c r="T87" s="0" t="n">
        <v>1</v>
      </c>
    </row>
    <row r="88" customFormat="false" ht="14.4" hidden="false" customHeight="true" outlineLevel="0" collapsed="false">
      <c r="A88" s="0" t="s">
        <v>394</v>
      </c>
      <c r="B88" s="0" t="s">
        <v>1707</v>
      </c>
      <c r="C88" s="0" t="s">
        <v>2656</v>
      </c>
      <c r="D88" s="0" t="n">
        <v>40</v>
      </c>
      <c r="E88" s="0" t="n">
        <v>8</v>
      </c>
      <c r="F88" s="114" t="n">
        <v>1</v>
      </c>
      <c r="G88" s="171" t="n">
        <f aca="false">Barrage[[#This Row],[Coefficient]]*Barrage[[#This Row],[Total Rounds]]*Barrage[[#This Row],[Base Damage]]</f>
        <v>320</v>
      </c>
      <c r="H88" s="0" t="s">
        <v>2602</v>
      </c>
      <c r="I88" s="114" t="n">
        <v>1</v>
      </c>
      <c r="J88" s="114" t="n">
        <v>1</v>
      </c>
      <c r="K88" s="114" t="n">
        <v>1</v>
      </c>
      <c r="L88" s="172"/>
      <c r="M88" s="173"/>
      <c r="N88" s="173"/>
      <c r="O88" s="173"/>
      <c r="P88" s="173"/>
      <c r="Q88" s="116"/>
      <c r="R88" s="0" t="s">
        <v>98</v>
      </c>
      <c r="T88" s="0" t="n">
        <v>1</v>
      </c>
      <c r="U88" s="0" t="s">
        <v>2625</v>
      </c>
    </row>
    <row r="89" customFormat="false" ht="14.4" hidden="false" customHeight="true" outlineLevel="0" collapsed="false">
      <c r="A89" s="0" t="s">
        <v>394</v>
      </c>
      <c r="B89" s="0" t="s">
        <v>1617</v>
      </c>
      <c r="C89" s="0" t="s">
        <v>2657</v>
      </c>
      <c r="D89" s="0" t="n">
        <v>38</v>
      </c>
      <c r="E89" s="0" t="n">
        <v>8</v>
      </c>
      <c r="F89" s="114" t="n">
        <v>1</v>
      </c>
      <c r="G89" s="171" t="n">
        <f aca="false">Barrage[[#This Row],[Coefficient]]*Barrage[[#This Row],[Total Rounds]]*Barrage[[#This Row],[Base Damage]]</f>
        <v>304</v>
      </c>
      <c r="H89" s="0" t="s">
        <v>2602</v>
      </c>
      <c r="I89" s="114" t="n">
        <v>1</v>
      </c>
      <c r="J89" s="114" t="n">
        <v>0.8</v>
      </c>
      <c r="K89" s="114" t="n">
        <v>0.6</v>
      </c>
      <c r="L89" s="172"/>
      <c r="M89" s="173"/>
      <c r="N89" s="173"/>
      <c r="O89" s="173"/>
      <c r="P89" s="173"/>
      <c r="Q89" s="116"/>
      <c r="R89" s="0" t="s">
        <v>98</v>
      </c>
      <c r="T89" s="0" t="n">
        <v>1</v>
      </c>
    </row>
    <row r="90" customFormat="false" ht="14.4" hidden="false" customHeight="true" outlineLevel="0" collapsed="false">
      <c r="A90" s="0" t="s">
        <v>394</v>
      </c>
      <c r="B90" s="0" t="s">
        <v>1588</v>
      </c>
      <c r="C90" s="0" t="s">
        <v>2658</v>
      </c>
      <c r="D90" s="0" t="n">
        <v>40</v>
      </c>
      <c r="E90" s="0" t="n">
        <v>6</v>
      </c>
      <c r="F90" s="114" t="n">
        <v>1</v>
      </c>
      <c r="G90" s="171" t="n">
        <f aca="false">Barrage[[#This Row],[Coefficient]]*Barrage[[#This Row],[Total Rounds]]*Barrage[[#This Row],[Base Damage]]</f>
        <v>240</v>
      </c>
      <c r="H90" s="175" t="s">
        <v>2612</v>
      </c>
      <c r="I90" s="114" t="n">
        <v>1</v>
      </c>
      <c r="J90" s="114" t="n">
        <v>0.8</v>
      </c>
      <c r="K90" s="114" t="n">
        <v>0.6</v>
      </c>
      <c r="L90" s="172" t="n">
        <v>0.3</v>
      </c>
      <c r="M90" s="173" t="n">
        <v>1</v>
      </c>
      <c r="N90" s="173"/>
      <c r="O90" s="173"/>
      <c r="P90" s="173"/>
      <c r="Q90" s="116"/>
      <c r="R90" s="0" t="s">
        <v>98</v>
      </c>
      <c r="T90" s="0" t="n">
        <v>1</v>
      </c>
      <c r="U90" s="0" t="s">
        <v>2625</v>
      </c>
    </row>
    <row r="91" customFormat="false" ht="14.4" hidden="false" customHeight="true" outlineLevel="0" collapsed="false">
      <c r="A91" s="0" t="s">
        <v>394</v>
      </c>
      <c r="B91" s="0" t="s">
        <v>1519</v>
      </c>
      <c r="C91" s="0" t="s">
        <v>2659</v>
      </c>
      <c r="D91" s="0" t="n">
        <v>40</v>
      </c>
      <c r="E91" s="0" t="n">
        <v>6</v>
      </c>
      <c r="F91" s="114" t="n">
        <v>1</v>
      </c>
      <c r="G91" s="171" t="n">
        <f aca="false">Barrage[[#This Row],[Coefficient]]*Barrage[[#This Row],[Total Rounds]]*Barrage[[#This Row],[Base Damage]]</f>
        <v>240</v>
      </c>
      <c r="H91" s="175" t="s">
        <v>2612</v>
      </c>
      <c r="I91" s="114" t="n">
        <v>1</v>
      </c>
      <c r="J91" s="114" t="n">
        <v>0.8</v>
      </c>
      <c r="K91" s="114" t="n">
        <v>0.6</v>
      </c>
      <c r="L91" s="172" t="n">
        <v>0.3</v>
      </c>
      <c r="M91" s="173" t="n">
        <v>2</v>
      </c>
      <c r="N91" s="173"/>
      <c r="O91" s="173"/>
      <c r="P91" s="173"/>
      <c r="Q91" s="116"/>
      <c r="R91" s="0" t="s">
        <v>98</v>
      </c>
      <c r="T91" s="0" t="n">
        <v>1</v>
      </c>
    </row>
    <row r="92" customFormat="false" ht="14.4" hidden="false" customHeight="true" outlineLevel="0" collapsed="false">
      <c r="A92" s="0" t="s">
        <v>394</v>
      </c>
      <c r="B92" s="0" t="s">
        <v>1641</v>
      </c>
      <c r="C92" s="0" t="s">
        <v>2660</v>
      </c>
      <c r="D92" s="0" t="n">
        <v>40</v>
      </c>
      <c r="E92" s="0" t="n">
        <v>6</v>
      </c>
      <c r="F92" s="114" t="n">
        <v>1</v>
      </c>
      <c r="G92" s="171" t="n">
        <f aca="false">Barrage[[#This Row],[Coefficient]]*Barrage[[#This Row],[Total Rounds]]*Barrage[[#This Row],[Base Damage]]</f>
        <v>240</v>
      </c>
      <c r="H92" s="175" t="s">
        <v>2612</v>
      </c>
      <c r="I92" s="114" t="n">
        <v>1</v>
      </c>
      <c r="J92" s="114" t="n">
        <v>0.8</v>
      </c>
      <c r="K92" s="114" t="n">
        <v>0.6</v>
      </c>
      <c r="L92" s="172" t="n">
        <v>0.3</v>
      </c>
      <c r="M92" s="173" t="n">
        <v>3</v>
      </c>
      <c r="N92" s="173"/>
      <c r="O92" s="173"/>
      <c r="P92" s="173"/>
      <c r="Q92" s="116"/>
      <c r="R92" s="0" t="s">
        <v>98</v>
      </c>
      <c r="T92" s="0" t="n">
        <v>1</v>
      </c>
      <c r="U92" s="0" t="s">
        <v>2625</v>
      </c>
    </row>
    <row r="93" customFormat="false" ht="14.4" hidden="false" customHeight="true" outlineLevel="0" collapsed="false">
      <c r="A93" s="0" t="s">
        <v>394</v>
      </c>
      <c r="B93" s="0" t="s">
        <v>1513</v>
      </c>
      <c r="C93" s="0" t="s">
        <v>2661</v>
      </c>
      <c r="D93" s="0" t="n">
        <v>40</v>
      </c>
      <c r="E93" s="0" t="n">
        <v>12</v>
      </c>
      <c r="F93" s="114" t="n">
        <v>1</v>
      </c>
      <c r="G93" s="171" t="n">
        <f aca="false">Barrage[[#This Row],[Coefficient]]*Barrage[[#This Row],[Total Rounds]]*Barrage[[#This Row],[Base Damage]]</f>
        <v>480</v>
      </c>
      <c r="H93" s="174" t="s">
        <v>2611</v>
      </c>
      <c r="I93" s="114" t="n">
        <v>0.75</v>
      </c>
      <c r="J93" s="114" t="n">
        <v>1.1</v>
      </c>
      <c r="K93" s="114" t="n">
        <v>0.75</v>
      </c>
      <c r="L93" s="172"/>
      <c r="M93" s="173"/>
      <c r="N93" s="173"/>
      <c r="O93" s="173"/>
      <c r="P93" s="173"/>
      <c r="Q93" s="116" t="n">
        <v>1</v>
      </c>
      <c r="R93" s="0" t="s">
        <v>98</v>
      </c>
      <c r="T93" s="0" t="n">
        <v>1</v>
      </c>
    </row>
    <row r="94" customFormat="false" ht="14.4" hidden="false" customHeight="true" outlineLevel="0" collapsed="false">
      <c r="A94" s="0" t="s">
        <v>394</v>
      </c>
      <c r="B94" s="0" t="s">
        <v>1514</v>
      </c>
      <c r="C94" s="0" t="s">
        <v>2661</v>
      </c>
      <c r="D94" s="0" t="n">
        <v>40</v>
      </c>
      <c r="E94" s="0" t="n">
        <v>11</v>
      </c>
      <c r="F94" s="114" t="n">
        <v>1</v>
      </c>
      <c r="G94" s="171" t="n">
        <f aca="false">Barrage[[#This Row],[Coefficient]]*Barrage[[#This Row],[Total Rounds]]*Barrage[[#This Row],[Base Damage]]</f>
        <v>440</v>
      </c>
      <c r="H94" s="0" t="s">
        <v>2602</v>
      </c>
      <c r="I94" s="114" t="n">
        <v>1</v>
      </c>
      <c r="J94" s="114" t="n">
        <v>0.8</v>
      </c>
      <c r="K94" s="114" t="n">
        <v>0.6</v>
      </c>
      <c r="L94" s="172"/>
      <c r="M94" s="173"/>
      <c r="N94" s="173"/>
      <c r="O94" s="173"/>
      <c r="P94" s="173"/>
      <c r="Q94" s="116"/>
      <c r="R94" s="0" t="s">
        <v>98</v>
      </c>
      <c r="T94" s="0" t="n">
        <v>1</v>
      </c>
    </row>
    <row r="95" customFormat="false" ht="14.4" hidden="false" customHeight="true" outlineLevel="0" collapsed="false">
      <c r="A95" s="0" t="s">
        <v>394</v>
      </c>
      <c r="B95" s="0" t="s">
        <v>1761</v>
      </c>
      <c r="C95" s="0" t="s">
        <v>1760</v>
      </c>
      <c r="D95" s="0" t="n">
        <v>40</v>
      </c>
      <c r="E95" s="0" t="n">
        <v>6</v>
      </c>
      <c r="F95" s="114" t="n">
        <v>1</v>
      </c>
      <c r="G95" s="171" t="n">
        <f aca="false">Barrage[[#This Row],[Coefficient]]*Barrage[[#This Row],[Total Rounds]]*Barrage[[#This Row],[Base Damage]]</f>
        <v>240</v>
      </c>
      <c r="H95" s="175" t="s">
        <v>2612</v>
      </c>
      <c r="I95" s="114" t="n">
        <v>1</v>
      </c>
      <c r="J95" s="114" t="n">
        <v>0.8</v>
      </c>
      <c r="K95" s="114" t="n">
        <v>0.6</v>
      </c>
      <c r="L95" s="172" t="n">
        <v>0.3</v>
      </c>
      <c r="M95" s="173" t="n">
        <v>1</v>
      </c>
      <c r="N95" s="173"/>
      <c r="O95" s="173"/>
      <c r="P95" s="173"/>
      <c r="Q95" s="116"/>
      <c r="R95" s="0" t="s">
        <v>98</v>
      </c>
      <c r="T95" s="0" t="n">
        <v>1</v>
      </c>
      <c r="U95" s="0" t="s">
        <v>2625</v>
      </c>
    </row>
    <row r="96" customFormat="false" ht="14.4" hidden="false" customHeight="true" outlineLevel="0" collapsed="false">
      <c r="A96" s="0" t="s">
        <v>394</v>
      </c>
      <c r="B96" s="0" t="s">
        <v>1601</v>
      </c>
      <c r="C96" s="0" t="s">
        <v>2662</v>
      </c>
      <c r="D96" s="0" t="n">
        <v>38</v>
      </c>
      <c r="E96" s="0" t="n">
        <v>6</v>
      </c>
      <c r="F96" s="114" t="n">
        <v>1</v>
      </c>
      <c r="G96" s="171" t="n">
        <f aca="false">Barrage[[#This Row],[Coefficient]]*Barrage[[#This Row],[Total Rounds]]*Barrage[[#This Row],[Base Damage]]</f>
        <v>228</v>
      </c>
      <c r="H96" s="0" t="s">
        <v>2602</v>
      </c>
      <c r="I96" s="114" t="n">
        <v>1</v>
      </c>
      <c r="J96" s="114" t="n">
        <v>0.8</v>
      </c>
      <c r="K96" s="114" t="n">
        <v>0.6</v>
      </c>
      <c r="L96" s="172"/>
      <c r="M96" s="173"/>
      <c r="N96" s="173"/>
      <c r="O96" s="173"/>
      <c r="P96" s="173"/>
      <c r="Q96" s="116"/>
      <c r="R96" s="0" t="s">
        <v>98</v>
      </c>
      <c r="T96" s="0" t="n">
        <v>1</v>
      </c>
    </row>
    <row r="97" customFormat="false" ht="14.4" hidden="false" customHeight="true" outlineLevel="0" collapsed="false">
      <c r="A97" s="0" t="s">
        <v>394</v>
      </c>
      <c r="B97" s="0" t="s">
        <v>1667</v>
      </c>
      <c r="C97" s="0" t="s">
        <v>2663</v>
      </c>
      <c r="D97" s="0" t="n">
        <v>38</v>
      </c>
      <c r="E97" s="0" t="n">
        <v>5</v>
      </c>
      <c r="F97" s="114" t="n">
        <v>1</v>
      </c>
      <c r="G97" s="171" t="n">
        <f aca="false">Barrage[[#This Row],[Coefficient]]*Barrage[[#This Row],[Total Rounds]]*Barrage[[#This Row],[Base Damage]]</f>
        <v>190</v>
      </c>
      <c r="H97" s="175" t="s">
        <v>2612</v>
      </c>
      <c r="I97" s="114" t="n">
        <v>1</v>
      </c>
      <c r="J97" s="114" t="n">
        <v>0.8</v>
      </c>
      <c r="K97" s="114" t="n">
        <v>0.6</v>
      </c>
      <c r="L97" s="172" t="n">
        <v>0.3</v>
      </c>
      <c r="M97" s="173" t="n">
        <v>1</v>
      </c>
      <c r="N97" s="173"/>
      <c r="O97" s="173"/>
      <c r="P97" s="173"/>
      <c r="Q97" s="116"/>
      <c r="R97" s="0" t="s">
        <v>98</v>
      </c>
      <c r="T97" s="0" t="n">
        <v>1</v>
      </c>
    </row>
    <row r="98" customFormat="false" ht="14.4" hidden="false" customHeight="true" outlineLevel="0" collapsed="false">
      <c r="A98" s="0" t="s">
        <v>394</v>
      </c>
      <c r="B98" s="0" t="s">
        <v>1649</v>
      </c>
      <c r="C98" s="0" t="s">
        <v>2664</v>
      </c>
      <c r="D98" s="0" t="n">
        <v>38</v>
      </c>
      <c r="E98" s="0" t="n">
        <v>6</v>
      </c>
      <c r="F98" s="114" t="n">
        <v>1</v>
      </c>
      <c r="G98" s="171" t="n">
        <f aca="false">Barrage[[#This Row],[Coefficient]]*Barrage[[#This Row],[Total Rounds]]*Barrage[[#This Row],[Base Damage]]</f>
        <v>228</v>
      </c>
      <c r="H98" s="0" t="s">
        <v>2602</v>
      </c>
      <c r="I98" s="114" t="n">
        <v>1</v>
      </c>
      <c r="J98" s="114" t="n">
        <v>0.8</v>
      </c>
      <c r="K98" s="114" t="n">
        <v>0.6</v>
      </c>
      <c r="L98" s="172"/>
      <c r="M98" s="173"/>
      <c r="N98" s="173"/>
      <c r="O98" s="173"/>
      <c r="P98" s="173"/>
      <c r="Q98" s="116"/>
      <c r="R98" s="0" t="s">
        <v>98</v>
      </c>
      <c r="T98" s="0" t="n">
        <v>1</v>
      </c>
    </row>
    <row r="99" customFormat="false" ht="14.4" hidden="false" customHeight="true" outlineLevel="0" collapsed="false">
      <c r="A99" s="0" t="s">
        <v>394</v>
      </c>
      <c r="B99" s="0" t="s">
        <v>1539</v>
      </c>
      <c r="C99" s="0" t="s">
        <v>2665</v>
      </c>
      <c r="D99" s="0" t="n">
        <v>38</v>
      </c>
      <c r="E99" s="0" t="n">
        <v>6</v>
      </c>
      <c r="F99" s="114" t="n">
        <v>1</v>
      </c>
      <c r="G99" s="171" t="n">
        <f aca="false">Barrage[[#This Row],[Coefficient]]*Barrage[[#This Row],[Total Rounds]]*Barrage[[#This Row],[Base Damage]]</f>
        <v>228</v>
      </c>
      <c r="H99" s="175" t="s">
        <v>2612</v>
      </c>
      <c r="I99" s="114" t="n">
        <v>1</v>
      </c>
      <c r="J99" s="114" t="n">
        <v>0.8</v>
      </c>
      <c r="K99" s="114" t="n">
        <v>0.6</v>
      </c>
      <c r="L99" s="172" t="n">
        <v>0.3</v>
      </c>
      <c r="M99" s="173" t="n">
        <v>1</v>
      </c>
      <c r="N99" s="173"/>
      <c r="O99" s="173"/>
      <c r="P99" s="173"/>
      <c r="Q99" s="116"/>
      <c r="R99" s="0" t="s">
        <v>98</v>
      </c>
      <c r="T99" s="0" t="n">
        <v>1</v>
      </c>
    </row>
    <row r="100" customFormat="false" ht="14.4" hidden="false" customHeight="true" outlineLevel="0" collapsed="false">
      <c r="A100" s="0" t="s">
        <v>394</v>
      </c>
      <c r="B100" s="0" t="s">
        <v>1551</v>
      </c>
      <c r="C100" s="0" t="s">
        <v>2666</v>
      </c>
      <c r="D100" s="0" t="n">
        <v>45</v>
      </c>
      <c r="E100" s="0" t="n">
        <v>12</v>
      </c>
      <c r="F100" s="114" t="n">
        <v>1</v>
      </c>
      <c r="G100" s="171" t="n">
        <f aca="false">Barrage[[#This Row],[Coefficient]]*Barrage[[#This Row],[Total Rounds]]*Barrage[[#This Row],[Base Damage]]</f>
        <v>540</v>
      </c>
      <c r="H100" s="0" t="s">
        <v>2602</v>
      </c>
      <c r="I100" s="114" t="n">
        <v>1</v>
      </c>
      <c r="J100" s="114" t="n">
        <v>1</v>
      </c>
      <c r="K100" s="114" t="n">
        <v>1</v>
      </c>
      <c r="L100" s="172"/>
      <c r="M100" s="173"/>
      <c r="N100" s="173"/>
      <c r="O100" s="173"/>
      <c r="P100" s="173"/>
      <c r="Q100" s="116"/>
      <c r="R100" s="0" t="s">
        <v>98</v>
      </c>
      <c r="T100" s="0" t="n">
        <v>1</v>
      </c>
    </row>
    <row r="101" customFormat="false" ht="14.4" hidden="false" customHeight="true" outlineLevel="0" collapsed="false">
      <c r="A101" s="0" t="s">
        <v>394</v>
      </c>
      <c r="B101" s="0" t="s">
        <v>1682</v>
      </c>
      <c r="C101" s="0" t="s">
        <v>1681</v>
      </c>
      <c r="D101" s="0" t="n">
        <v>26</v>
      </c>
      <c r="E101" s="0" t="n">
        <v>15</v>
      </c>
      <c r="F101" s="114" t="n">
        <v>1</v>
      </c>
      <c r="G101" s="171" t="n">
        <f aca="false">Barrage[[#This Row],[Coefficient]]*Barrage[[#This Row],[Total Rounds]]*Barrage[[#This Row],[Base Damage]]</f>
        <v>390</v>
      </c>
      <c r="H101" s="175" t="s">
        <v>2612</v>
      </c>
      <c r="I101" s="114" t="n">
        <v>1.25</v>
      </c>
      <c r="J101" s="114" t="n">
        <v>0.85</v>
      </c>
      <c r="K101" s="114" t="n">
        <v>0.65</v>
      </c>
      <c r="L101" s="172" t="n">
        <v>0.08</v>
      </c>
      <c r="M101" s="173" t="n">
        <v>3</v>
      </c>
      <c r="N101" s="173"/>
      <c r="O101" s="173"/>
      <c r="P101" s="173"/>
      <c r="Q101" s="116"/>
      <c r="R101" s="0" t="s">
        <v>98</v>
      </c>
      <c r="T101" s="0" t="n">
        <v>1</v>
      </c>
      <c r="U101" s="0" t="s">
        <v>2667</v>
      </c>
    </row>
    <row r="102" customFormat="false" ht="14.4" hidden="false" customHeight="true" outlineLevel="0" collapsed="false">
      <c r="A102" s="0" t="s">
        <v>394</v>
      </c>
      <c r="B102" s="0" t="s">
        <v>1733</v>
      </c>
      <c r="C102" s="0" t="s">
        <v>395</v>
      </c>
      <c r="D102" s="0" t="n">
        <v>30</v>
      </c>
      <c r="E102" s="0" t="n">
        <v>16</v>
      </c>
      <c r="F102" s="114" t="n">
        <v>1.1</v>
      </c>
      <c r="G102" s="171" t="n">
        <f aca="false">Barrage[[#This Row],[Coefficient]]*Barrage[[#This Row],[Total Rounds]]*Barrage[[#This Row],[Base Damage]]</f>
        <v>528</v>
      </c>
      <c r="H102" s="175" t="s">
        <v>2612</v>
      </c>
      <c r="I102" s="114" t="n">
        <v>1.35</v>
      </c>
      <c r="J102" s="114" t="n">
        <v>0.95</v>
      </c>
      <c r="K102" s="114" t="n">
        <v>0.7</v>
      </c>
      <c r="L102" s="172" t="n">
        <v>0.08</v>
      </c>
      <c r="M102" s="173" t="n">
        <v>3</v>
      </c>
      <c r="N102" s="173"/>
      <c r="O102" s="173"/>
      <c r="P102" s="173"/>
      <c r="Q102" s="116"/>
      <c r="R102" s="0" t="s">
        <v>98</v>
      </c>
      <c r="T102" s="0" t="n">
        <v>1</v>
      </c>
      <c r="U102" s="0" t="s">
        <v>2625</v>
      </c>
    </row>
    <row r="103" customFormat="false" ht="14.4" hidden="false" customHeight="true" outlineLevel="0" collapsed="false">
      <c r="A103" s="0" t="s">
        <v>394</v>
      </c>
      <c r="B103" s="0" t="s">
        <v>1633</v>
      </c>
      <c r="C103" s="0" t="s">
        <v>1632</v>
      </c>
      <c r="D103" s="0" t="n">
        <v>38</v>
      </c>
      <c r="E103" s="0" t="n">
        <v>12</v>
      </c>
      <c r="F103" s="114" t="n">
        <v>1.1</v>
      </c>
      <c r="G103" s="171" t="n">
        <f aca="false">Barrage[[#This Row],[Coefficient]]*Barrage[[#This Row],[Total Rounds]]*Barrage[[#This Row],[Base Damage]]</f>
        <v>501.6</v>
      </c>
      <c r="H103" s="175" t="s">
        <v>2612</v>
      </c>
      <c r="I103" s="114" t="n">
        <v>1.15</v>
      </c>
      <c r="J103" s="114" t="n">
        <v>0.8</v>
      </c>
      <c r="K103" s="114" t="n">
        <v>0.6</v>
      </c>
      <c r="L103" s="172" t="n">
        <v>0.08</v>
      </c>
      <c r="M103" s="173" t="n">
        <v>3</v>
      </c>
      <c r="N103" s="173"/>
      <c r="O103" s="173"/>
      <c r="P103" s="173"/>
      <c r="Q103" s="116"/>
      <c r="R103" s="0" t="s">
        <v>98</v>
      </c>
      <c r="T103" s="0" t="n">
        <v>1</v>
      </c>
    </row>
    <row r="104" customFormat="false" ht="14.4" hidden="false" customHeight="true" outlineLevel="0" collapsed="false">
      <c r="A104" s="0" t="s">
        <v>394</v>
      </c>
      <c r="B104" s="0" t="s">
        <v>1725</v>
      </c>
      <c r="C104" s="0" t="s">
        <v>1724</v>
      </c>
      <c r="D104" s="0" t="n">
        <v>30</v>
      </c>
      <c r="E104" s="0" t="n">
        <v>16</v>
      </c>
      <c r="F104" s="114" t="n">
        <v>1.1</v>
      </c>
      <c r="G104" s="171" t="n">
        <f aca="false">Barrage[[#This Row],[Coefficient]]*Barrage[[#This Row],[Total Rounds]]*Barrage[[#This Row],[Base Damage]]</f>
        <v>528</v>
      </c>
      <c r="H104" s="174" t="s">
        <v>2611</v>
      </c>
      <c r="I104" s="114" t="n">
        <v>0.75</v>
      </c>
      <c r="J104" s="114" t="n">
        <v>1.1</v>
      </c>
      <c r="K104" s="114" t="n">
        <v>0.75</v>
      </c>
      <c r="L104" s="172"/>
      <c r="M104" s="173"/>
      <c r="N104" s="173"/>
      <c r="O104" s="173"/>
      <c r="P104" s="173"/>
      <c r="Q104" s="116"/>
      <c r="R104" s="0" t="s">
        <v>98</v>
      </c>
      <c r="T104" s="0" t="n">
        <v>1</v>
      </c>
      <c r="U104" s="0" t="s">
        <v>2625</v>
      </c>
    </row>
    <row r="105" customFormat="false" ht="14.4" hidden="false" customHeight="true" outlineLevel="0" collapsed="false">
      <c r="A105" s="0" t="s">
        <v>394</v>
      </c>
      <c r="B105" s="0" t="s">
        <v>1726</v>
      </c>
      <c r="C105" s="0" t="s">
        <v>1724</v>
      </c>
      <c r="D105" s="0" t="n">
        <v>30</v>
      </c>
      <c r="E105" s="0" t="n">
        <v>16</v>
      </c>
      <c r="F105" s="114" t="n">
        <v>1.1</v>
      </c>
      <c r="G105" s="171" t="n">
        <f aca="false">Barrage[[#This Row],[Coefficient]]*Barrage[[#This Row],[Total Rounds]]*Barrage[[#This Row],[Base Damage]]</f>
        <v>528</v>
      </c>
      <c r="H105" s="175" t="s">
        <v>2612</v>
      </c>
      <c r="I105" s="114" t="n">
        <v>1.35</v>
      </c>
      <c r="J105" s="114" t="n">
        <v>0.95</v>
      </c>
      <c r="K105" s="114" t="n">
        <v>0.7</v>
      </c>
      <c r="L105" s="172" t="n">
        <v>0.08</v>
      </c>
      <c r="M105" s="173" t="n">
        <v>3</v>
      </c>
      <c r="N105" s="173"/>
      <c r="O105" s="173"/>
      <c r="P105" s="173"/>
      <c r="Q105" s="116"/>
      <c r="R105" s="0" t="s">
        <v>98</v>
      </c>
      <c r="T105" s="0" t="n">
        <v>1</v>
      </c>
      <c r="U105" s="0" t="s">
        <v>2625</v>
      </c>
    </row>
    <row r="106" customFormat="false" ht="14.4" hidden="false" customHeight="true" outlineLevel="0" collapsed="false">
      <c r="A106" s="0" t="s">
        <v>394</v>
      </c>
      <c r="B106" s="0" t="s">
        <v>1544</v>
      </c>
      <c r="C106" s="0" t="s">
        <v>2668</v>
      </c>
      <c r="D106" s="0" t="n">
        <v>40</v>
      </c>
      <c r="E106" s="0" t="n">
        <v>6</v>
      </c>
      <c r="F106" s="114" t="n">
        <v>1</v>
      </c>
      <c r="G106" s="171" t="n">
        <f aca="false">Barrage[[#This Row],[Coefficient]]*Barrage[[#This Row],[Total Rounds]]*Barrage[[#This Row],[Base Damage]]</f>
        <v>240</v>
      </c>
      <c r="H106" s="175" t="s">
        <v>2612</v>
      </c>
      <c r="I106" s="114" t="n">
        <v>1</v>
      </c>
      <c r="J106" s="114" t="n">
        <v>0.8</v>
      </c>
      <c r="K106" s="114" t="n">
        <v>0.6</v>
      </c>
      <c r="L106" s="172" t="n">
        <v>0.3</v>
      </c>
      <c r="M106" s="173" t="n">
        <v>1</v>
      </c>
      <c r="N106" s="173"/>
      <c r="O106" s="173"/>
      <c r="P106" s="173"/>
      <c r="Q106" s="116"/>
      <c r="R106" s="0" t="s">
        <v>98</v>
      </c>
      <c r="T106" s="0" t="n">
        <v>1</v>
      </c>
      <c r="U106" s="0" t="s">
        <v>2625</v>
      </c>
    </row>
    <row r="107" customFormat="false" ht="14.4" hidden="false" customHeight="true" outlineLevel="0" collapsed="false">
      <c r="A107" s="0" t="s">
        <v>394</v>
      </c>
      <c r="B107" s="0" t="s">
        <v>1749</v>
      </c>
      <c r="C107" s="0" t="s">
        <v>1748</v>
      </c>
      <c r="D107" s="0" t="n">
        <v>30</v>
      </c>
      <c r="E107" s="0" t="n">
        <v>15</v>
      </c>
      <c r="F107" s="114" t="n">
        <v>1</v>
      </c>
      <c r="G107" s="171" t="n">
        <f aca="false">Barrage[[#This Row],[Coefficient]]*Barrage[[#This Row],[Total Rounds]]*Barrage[[#This Row],[Base Damage]]</f>
        <v>450</v>
      </c>
      <c r="H107" s="175" t="s">
        <v>2612</v>
      </c>
      <c r="I107" s="114" t="n">
        <v>1.25</v>
      </c>
      <c r="J107" s="114" t="n">
        <v>0.85</v>
      </c>
      <c r="K107" s="114" t="n">
        <v>0.65</v>
      </c>
      <c r="L107" s="172"/>
      <c r="M107" s="173"/>
      <c r="N107" s="173"/>
      <c r="O107" s="173"/>
      <c r="P107" s="173"/>
      <c r="Q107" s="116"/>
      <c r="R107" s="0" t="s">
        <v>98</v>
      </c>
      <c r="T107" s="0" t="n">
        <v>1</v>
      </c>
    </row>
    <row r="108" customFormat="false" ht="14.4" hidden="false" customHeight="true" outlineLevel="0" collapsed="false">
      <c r="A108" s="0" t="s">
        <v>394</v>
      </c>
      <c r="B108" s="0" t="s">
        <v>1751</v>
      </c>
      <c r="C108" s="0" t="s">
        <v>1748</v>
      </c>
      <c r="D108" s="0" t="n">
        <v>35</v>
      </c>
      <c r="E108" s="0" t="n">
        <v>15</v>
      </c>
      <c r="F108" s="114" t="n">
        <v>1</v>
      </c>
      <c r="G108" s="171" t="n">
        <f aca="false">Barrage[[#This Row],[Coefficient]]*Barrage[[#This Row],[Total Rounds]]*Barrage[[#This Row],[Base Damage]]</f>
        <v>525</v>
      </c>
      <c r="H108" s="175" t="s">
        <v>2612</v>
      </c>
      <c r="I108" s="114" t="n">
        <v>1.25</v>
      </c>
      <c r="J108" s="114" t="n">
        <v>1</v>
      </c>
      <c r="K108" s="114" t="n">
        <v>0.8</v>
      </c>
      <c r="L108" s="172"/>
      <c r="M108" s="173"/>
      <c r="N108" s="173"/>
      <c r="O108" s="173"/>
      <c r="P108" s="173"/>
      <c r="Q108" s="116"/>
      <c r="R108" s="0" t="s">
        <v>98</v>
      </c>
      <c r="T108" s="0" t="n">
        <v>1</v>
      </c>
    </row>
    <row r="109" customFormat="false" ht="14.4" hidden="false" customHeight="true" outlineLevel="0" collapsed="false">
      <c r="A109" s="0" t="s">
        <v>394</v>
      </c>
      <c r="B109" s="0" t="s">
        <v>1750</v>
      </c>
      <c r="C109" s="0" t="s">
        <v>1748</v>
      </c>
      <c r="D109" s="0" t="n">
        <v>30</v>
      </c>
      <c r="E109" s="0" t="n">
        <v>8</v>
      </c>
      <c r="F109" s="114" t="n">
        <v>1</v>
      </c>
      <c r="G109" s="171" t="n">
        <f aca="false">Barrage[[#This Row],[Coefficient]]*Barrage[[#This Row],[Total Rounds]]*Barrage[[#This Row],[Base Damage]]</f>
        <v>240</v>
      </c>
      <c r="H109" s="174" t="s">
        <v>2611</v>
      </c>
      <c r="I109" s="114" t="n">
        <v>0.75</v>
      </c>
      <c r="J109" s="114" t="n">
        <v>1.1</v>
      </c>
      <c r="K109" s="114" t="n">
        <v>0.75</v>
      </c>
      <c r="L109" s="172"/>
      <c r="M109" s="173"/>
      <c r="N109" s="173"/>
      <c r="O109" s="173"/>
      <c r="P109" s="173"/>
      <c r="Q109" s="116"/>
      <c r="R109" s="0" t="s">
        <v>98</v>
      </c>
      <c r="T109" s="0" t="n">
        <v>1</v>
      </c>
      <c r="U109" s="0" t="s">
        <v>2669</v>
      </c>
    </row>
    <row r="110" customFormat="false" ht="14.4" hidden="false" customHeight="true" outlineLevel="0" collapsed="false">
      <c r="A110" s="0" t="s">
        <v>325</v>
      </c>
      <c r="B110" s="0" t="s">
        <v>2481</v>
      </c>
      <c r="C110" s="0" t="s">
        <v>2670</v>
      </c>
      <c r="D110" s="0" t="n">
        <v>60</v>
      </c>
      <c r="E110" s="0" t="n">
        <v>6</v>
      </c>
      <c r="F110" s="114" t="n">
        <v>1</v>
      </c>
      <c r="G110" s="171" t="n">
        <f aca="false">Barrage[[#This Row],[Coefficient]]*Barrage[[#This Row],[Total Rounds]]*Barrage[[#This Row],[Base Damage]]</f>
        <v>360</v>
      </c>
      <c r="H110" s="0" t="s">
        <v>2621</v>
      </c>
      <c r="I110" s="114" t="n">
        <v>0.8</v>
      </c>
      <c r="J110" s="114" t="n">
        <v>1</v>
      </c>
      <c r="K110" s="114" t="n">
        <v>1.3</v>
      </c>
      <c r="L110" s="172"/>
      <c r="M110" s="184"/>
      <c r="N110" s="184"/>
      <c r="O110" s="184"/>
      <c r="P110" s="184"/>
      <c r="Q110" s="116"/>
      <c r="R110" s="0" t="s">
        <v>99</v>
      </c>
      <c r="T110" s="0" t="n">
        <v>1</v>
      </c>
    </row>
    <row r="111" customFormat="false" ht="14.4" hidden="false" customHeight="true" outlineLevel="0" collapsed="false">
      <c r="A111" s="0" t="s">
        <v>325</v>
      </c>
      <c r="B111" s="0" t="s">
        <v>2475</v>
      </c>
      <c r="C111" s="0" t="s">
        <v>326</v>
      </c>
      <c r="D111" s="0" t="n">
        <v>60</v>
      </c>
      <c r="E111" s="0" t="n">
        <v>9</v>
      </c>
      <c r="F111" s="114" t="n">
        <v>1</v>
      </c>
      <c r="G111" s="171" t="n">
        <f aca="false">Barrage[[#This Row],[Coefficient]]*Barrage[[#This Row],[Total Rounds]]*Barrage[[#This Row],[Base Damage]]</f>
        <v>540</v>
      </c>
      <c r="H111" s="0" t="s">
        <v>2621</v>
      </c>
      <c r="I111" s="114" t="n">
        <v>0.8</v>
      </c>
      <c r="J111" s="114" t="n">
        <v>1</v>
      </c>
      <c r="K111" s="114" t="n">
        <v>1.3</v>
      </c>
      <c r="L111" s="172"/>
      <c r="M111" s="184"/>
      <c r="N111" s="184"/>
      <c r="O111" s="184"/>
      <c r="P111" s="184"/>
      <c r="Q111" s="116"/>
      <c r="R111" s="0" t="s">
        <v>99</v>
      </c>
      <c r="T111" s="0" t="n">
        <v>1</v>
      </c>
    </row>
    <row r="112" customFormat="false" ht="14.4" hidden="false" customHeight="true" outlineLevel="0" collapsed="false">
      <c r="A112" s="0" t="s">
        <v>325</v>
      </c>
      <c r="B112" s="0" t="s">
        <v>2556</v>
      </c>
      <c r="C112" s="0" t="s">
        <v>2555</v>
      </c>
      <c r="D112" s="0" t="n">
        <v>60</v>
      </c>
      <c r="E112" s="0" t="n">
        <v>9</v>
      </c>
      <c r="F112" s="114" t="n">
        <v>1</v>
      </c>
      <c r="G112" s="171" t="n">
        <f aca="false">Barrage[[#This Row],[Coefficient]]*Barrage[[#This Row],[Total Rounds]]*Barrage[[#This Row],[Base Damage]]</f>
        <v>540</v>
      </c>
      <c r="H112" s="0" t="s">
        <v>2621</v>
      </c>
      <c r="I112" s="114" t="n">
        <v>0.8</v>
      </c>
      <c r="J112" s="114" t="n">
        <v>1</v>
      </c>
      <c r="K112" s="114" t="n">
        <v>1.3</v>
      </c>
      <c r="L112" s="172"/>
      <c r="M112" s="184"/>
      <c r="N112" s="184"/>
      <c r="O112" s="184"/>
      <c r="P112" s="184"/>
      <c r="Q112" s="116"/>
      <c r="R112" s="0" t="s">
        <v>99</v>
      </c>
      <c r="T112" s="0" t="n">
        <v>1</v>
      </c>
    </row>
    <row r="113" customFormat="false" ht="14.4" hidden="false" customHeight="true" outlineLevel="0" collapsed="false">
      <c r="A113" s="0" t="s">
        <v>325</v>
      </c>
      <c r="B113" s="0" t="s">
        <v>2462</v>
      </c>
      <c r="C113" s="0" t="s">
        <v>2461</v>
      </c>
      <c r="D113" s="0" t="n">
        <v>60</v>
      </c>
      <c r="E113" s="0" t="n">
        <v>6</v>
      </c>
      <c r="F113" s="114" t="n">
        <v>1</v>
      </c>
      <c r="G113" s="171" t="n">
        <f aca="false">Barrage[[#This Row],[Coefficient]]*Barrage[[#This Row],[Total Rounds]]*Barrage[[#This Row],[Base Damage]]</f>
        <v>360</v>
      </c>
      <c r="H113" s="0" t="s">
        <v>2621</v>
      </c>
      <c r="I113" s="114" t="n">
        <v>0.8</v>
      </c>
      <c r="J113" s="114" t="n">
        <v>1</v>
      </c>
      <c r="K113" s="114" t="n">
        <v>1.3</v>
      </c>
      <c r="L113" s="172"/>
      <c r="M113" s="184"/>
      <c r="N113" s="184"/>
      <c r="O113" s="184"/>
      <c r="P113" s="184"/>
      <c r="Q113" s="116"/>
      <c r="R113" s="0" t="s">
        <v>99</v>
      </c>
      <c r="T113" s="0" t="n">
        <v>1</v>
      </c>
    </row>
    <row r="114" customFormat="false" ht="14.4" hidden="false" customHeight="true" outlineLevel="0" collapsed="false">
      <c r="A114" s="0" t="s">
        <v>325</v>
      </c>
      <c r="B114" s="0" t="s">
        <v>2553</v>
      </c>
      <c r="C114" s="0" t="s">
        <v>2671</v>
      </c>
      <c r="D114" s="0" t="n">
        <v>55</v>
      </c>
      <c r="E114" s="0" t="n">
        <v>6</v>
      </c>
      <c r="F114" s="114" t="n">
        <v>1</v>
      </c>
      <c r="G114" s="171" t="n">
        <f aca="false">Barrage[[#This Row],[Coefficient]]*Barrage[[#This Row],[Total Rounds]]*Barrage[[#This Row],[Base Damage]]</f>
        <v>330</v>
      </c>
      <c r="H114" s="0" t="s">
        <v>2621</v>
      </c>
      <c r="I114" s="114" t="n">
        <v>0.8</v>
      </c>
      <c r="J114" s="114" t="n">
        <v>1</v>
      </c>
      <c r="K114" s="114" t="n">
        <v>1.3</v>
      </c>
      <c r="L114" s="172"/>
      <c r="M114" s="184"/>
      <c r="N114" s="184"/>
      <c r="O114" s="184"/>
      <c r="P114" s="184"/>
      <c r="Q114" s="116"/>
      <c r="R114" s="0" t="s">
        <v>99</v>
      </c>
      <c r="T114" s="0" t="n">
        <v>1</v>
      </c>
    </row>
    <row r="115" customFormat="false" ht="14.4" hidden="false" customHeight="true" outlineLevel="0" collapsed="false">
      <c r="A115" s="0" t="s">
        <v>325</v>
      </c>
      <c r="B115" s="0" t="s">
        <v>2543</v>
      </c>
      <c r="C115" s="0" t="s">
        <v>2672</v>
      </c>
      <c r="D115" s="0" t="n">
        <v>60</v>
      </c>
      <c r="E115" s="0" t="n">
        <v>6</v>
      </c>
      <c r="F115" s="114" t="n">
        <v>1</v>
      </c>
      <c r="G115" s="171" t="n">
        <f aca="false">Barrage[[#This Row],[Coefficient]]*Barrage[[#This Row],[Total Rounds]]*Barrage[[#This Row],[Base Damage]]</f>
        <v>360</v>
      </c>
      <c r="H115" s="0" t="s">
        <v>2621</v>
      </c>
      <c r="I115" s="114" t="n">
        <v>0.8</v>
      </c>
      <c r="J115" s="114" t="n">
        <v>1</v>
      </c>
      <c r="K115" s="114" t="n">
        <v>1.3</v>
      </c>
      <c r="L115" s="172"/>
      <c r="M115" s="184"/>
      <c r="N115" s="184"/>
      <c r="O115" s="184"/>
      <c r="P115" s="184"/>
      <c r="Q115" s="116"/>
      <c r="R115" s="0" t="s">
        <v>99</v>
      </c>
      <c r="T115" s="0" t="n">
        <v>1</v>
      </c>
    </row>
    <row r="116" customFormat="false" ht="14.4" hidden="false" customHeight="true" outlineLevel="0" collapsed="false">
      <c r="A116" s="0" t="s">
        <v>325</v>
      </c>
      <c r="B116" s="0" t="s">
        <v>2530</v>
      </c>
      <c r="C116" s="0" t="s">
        <v>2529</v>
      </c>
      <c r="D116" s="0" t="n">
        <v>60</v>
      </c>
      <c r="E116" s="0" t="n">
        <v>9</v>
      </c>
      <c r="F116" s="114" t="n">
        <v>1</v>
      </c>
      <c r="G116" s="171" t="n">
        <f aca="false">Barrage[[#This Row],[Coefficient]]*Barrage[[#This Row],[Total Rounds]]*Barrage[[#This Row],[Base Damage]]</f>
        <v>540</v>
      </c>
      <c r="H116" s="0" t="s">
        <v>2621</v>
      </c>
      <c r="I116" s="114" t="n">
        <v>0.8</v>
      </c>
      <c r="J116" s="114" t="n">
        <v>1</v>
      </c>
      <c r="K116" s="114" t="n">
        <v>1.3</v>
      </c>
      <c r="L116" s="172"/>
      <c r="M116" s="184"/>
      <c r="N116" s="184"/>
      <c r="O116" s="184"/>
      <c r="P116" s="184"/>
      <c r="Q116" s="116"/>
      <c r="R116" s="0" t="s">
        <v>99</v>
      </c>
      <c r="T116" s="0" t="n">
        <v>1</v>
      </c>
    </row>
    <row r="117" customFormat="false" ht="14.4" hidden="false" customHeight="true" outlineLevel="0" collapsed="false">
      <c r="A117" s="0" t="s">
        <v>325</v>
      </c>
      <c r="B117" s="0" t="s">
        <v>2506</v>
      </c>
      <c r="C117" s="0" t="s">
        <v>2505</v>
      </c>
      <c r="D117" s="0" t="n">
        <v>150</v>
      </c>
      <c r="E117" s="0" t="n">
        <v>4</v>
      </c>
      <c r="F117" s="114" t="n">
        <v>1</v>
      </c>
      <c r="G117" s="171" t="n">
        <f aca="false">Barrage[[#This Row],[Coefficient]]*Barrage[[#This Row],[Total Rounds]]*Barrage[[#This Row],[Base Damage]]</f>
        <v>600</v>
      </c>
      <c r="H117" s="175" t="s">
        <v>2612</v>
      </c>
      <c r="I117" s="114" t="n">
        <v>1.25</v>
      </c>
      <c r="J117" s="114" t="n">
        <v>0.85</v>
      </c>
      <c r="K117" s="114" t="n">
        <v>0.65</v>
      </c>
      <c r="L117" s="172" t="n">
        <v>0.08</v>
      </c>
      <c r="M117" s="184" t="n">
        <v>3</v>
      </c>
      <c r="N117" s="184"/>
      <c r="O117" s="184"/>
      <c r="P117" s="184"/>
      <c r="Q117" s="116"/>
      <c r="R117" s="0" t="s">
        <v>98</v>
      </c>
      <c r="T117" s="0" t="n">
        <v>1</v>
      </c>
    </row>
    <row r="118" customFormat="false" ht="14.4" hidden="false" customHeight="true" outlineLevel="0" collapsed="false">
      <c r="A118" s="0" t="s">
        <v>325</v>
      </c>
      <c r="B118" s="0" t="s">
        <v>2446</v>
      </c>
      <c r="C118" s="0" t="s">
        <v>2673</v>
      </c>
      <c r="D118" s="0" t="n">
        <v>48</v>
      </c>
      <c r="E118" s="0" t="n">
        <v>12</v>
      </c>
      <c r="F118" s="114" t="n">
        <v>1</v>
      </c>
      <c r="G118" s="171" t="n">
        <f aca="false">Barrage[[#This Row],[Coefficient]]*Barrage[[#This Row],[Total Rounds]]*Barrage[[#This Row],[Base Damage]]</f>
        <v>576</v>
      </c>
      <c r="H118" s="0" t="s">
        <v>2621</v>
      </c>
      <c r="I118" s="114" t="n">
        <v>0.8</v>
      </c>
      <c r="J118" s="114" t="n">
        <v>1</v>
      </c>
      <c r="K118" s="114" t="n">
        <v>1.3</v>
      </c>
      <c r="L118" s="172"/>
      <c r="M118" s="184"/>
      <c r="N118" s="184"/>
      <c r="O118" s="184"/>
      <c r="P118" s="184"/>
      <c r="Q118" s="116"/>
      <c r="R118" s="0" t="s">
        <v>99</v>
      </c>
      <c r="T118" s="0" t="n">
        <v>1</v>
      </c>
    </row>
    <row r="119" customFormat="false" ht="14.4" hidden="false" customHeight="true" outlineLevel="0" collapsed="false">
      <c r="A119" s="0" t="s">
        <v>325</v>
      </c>
      <c r="B119" s="0" t="s">
        <v>2570</v>
      </c>
      <c r="C119" s="0" t="s">
        <v>358</v>
      </c>
      <c r="D119" s="0" t="n">
        <v>55</v>
      </c>
      <c r="E119" s="0" t="n">
        <v>9</v>
      </c>
      <c r="F119" s="114" t="n">
        <v>1</v>
      </c>
      <c r="G119" s="171" t="n">
        <f aca="false">Barrage[[#This Row],[Coefficient]]*Barrage[[#This Row],[Total Rounds]]*Barrage[[#This Row],[Base Damage]]</f>
        <v>495</v>
      </c>
      <c r="H119" s="0" t="s">
        <v>2621</v>
      </c>
      <c r="I119" s="114" t="n">
        <v>0.8</v>
      </c>
      <c r="J119" s="114" t="n">
        <v>1</v>
      </c>
      <c r="K119" s="114" t="n">
        <v>1.3</v>
      </c>
      <c r="L119" s="172"/>
      <c r="M119" s="184"/>
      <c r="N119" s="184"/>
      <c r="O119" s="184"/>
      <c r="P119" s="184"/>
      <c r="Q119" s="116"/>
      <c r="R119" s="0" t="s">
        <v>99</v>
      </c>
      <c r="T119" s="0" t="n">
        <v>1</v>
      </c>
    </row>
    <row r="120" customFormat="false" ht="14.4" hidden="false" customHeight="false" outlineLevel="0" collapsed="false">
      <c r="A120" s="0" t="s">
        <v>74</v>
      </c>
      <c r="B120" s="0" t="s">
        <v>538</v>
      </c>
      <c r="C120" s="0" t="s">
        <v>537</v>
      </c>
      <c r="D120" s="0" t="n">
        <v>20</v>
      </c>
      <c r="E120" s="0" t="n">
        <v>30</v>
      </c>
      <c r="F120" s="114" t="n">
        <v>1</v>
      </c>
      <c r="G120" s="171" t="n">
        <f aca="false">Barrage[[#This Row],[Coefficient]]*Barrage[[#This Row],[Total Rounds]]*Barrage[[#This Row],[Base Damage]]</f>
        <v>600</v>
      </c>
      <c r="H120" s="175" t="s">
        <v>2612</v>
      </c>
      <c r="I120" s="114" t="n">
        <v>1.2</v>
      </c>
      <c r="J120" s="114" t="n">
        <v>0.6</v>
      </c>
      <c r="K120" s="114" t="n">
        <v>0.6</v>
      </c>
      <c r="L120" s="172" t="n">
        <v>0.01</v>
      </c>
      <c r="M120" s="173" t="n">
        <v>1</v>
      </c>
      <c r="N120" s="173"/>
      <c r="O120" s="173"/>
      <c r="P120" s="173"/>
      <c r="Q120" s="116"/>
      <c r="R120" s="0" t="s">
        <v>98</v>
      </c>
      <c r="T120" s="0" t="n">
        <v>1</v>
      </c>
    </row>
    <row r="121" customFormat="false" ht="14.4" hidden="false" customHeight="false" outlineLevel="0" collapsed="false">
      <c r="A121" s="0" t="s">
        <v>74</v>
      </c>
      <c r="B121" s="0" t="s">
        <v>539</v>
      </c>
      <c r="C121" s="0" t="s">
        <v>537</v>
      </c>
      <c r="D121" s="0" t="n">
        <v>156</v>
      </c>
      <c r="E121" s="0" t="n">
        <v>6</v>
      </c>
      <c r="F121" s="114" t="n">
        <v>1</v>
      </c>
      <c r="G121" s="171" t="n">
        <f aca="false">Barrage[[#This Row],[Coefficient]]*Barrage[[#This Row],[Total Rounds]]*Barrage[[#This Row],[Base Damage]]</f>
        <v>936</v>
      </c>
      <c r="H121" s="183" t="s">
        <v>2621</v>
      </c>
      <c r="I121" s="114" t="n">
        <v>0.8</v>
      </c>
      <c r="J121" s="114" t="n">
        <v>1</v>
      </c>
      <c r="K121" s="114" t="n">
        <v>1.3</v>
      </c>
      <c r="L121" s="172"/>
      <c r="M121" s="173"/>
      <c r="N121" s="173"/>
      <c r="O121" s="173"/>
      <c r="P121" s="173"/>
      <c r="Q121" s="116"/>
      <c r="R121" s="0" t="s">
        <v>99</v>
      </c>
      <c r="T121" s="0" t="n">
        <v>1</v>
      </c>
    </row>
    <row r="122" customFormat="false" ht="14.4" hidden="false" customHeight="false" outlineLevel="0" collapsed="false">
      <c r="A122" s="152" t="s">
        <v>74</v>
      </c>
      <c r="B122" s="0" t="s">
        <v>762</v>
      </c>
      <c r="C122" s="162" t="s">
        <v>761</v>
      </c>
      <c r="D122" s="0" t="n">
        <v>24</v>
      </c>
      <c r="E122" s="0" t="n">
        <v>30</v>
      </c>
      <c r="F122" s="114" t="n">
        <v>1</v>
      </c>
      <c r="G122" s="171" t="n">
        <f aca="false">Barrage[[#This Row],[Coefficient]]*Barrage[[#This Row],[Total Rounds]]*Barrage[[#This Row],[Base Damage]]</f>
        <v>720</v>
      </c>
      <c r="H122" s="174" t="s">
        <v>2611</v>
      </c>
      <c r="I122" s="114" t="n">
        <v>0.9</v>
      </c>
      <c r="J122" s="114" t="n">
        <v>0.7</v>
      </c>
      <c r="K122" s="114" t="n">
        <v>0.4</v>
      </c>
      <c r="L122" s="172"/>
      <c r="M122" s="173"/>
      <c r="N122" s="173"/>
      <c r="O122" s="173"/>
      <c r="P122" s="173"/>
      <c r="Q122" s="116" t="n">
        <v>1</v>
      </c>
      <c r="R122" s="0" t="s">
        <v>98</v>
      </c>
      <c r="T122" s="0" t="n">
        <v>1</v>
      </c>
    </row>
    <row r="123" customFormat="false" ht="14.4" hidden="false" customHeight="false" outlineLevel="0" collapsed="false">
      <c r="A123" s="0" t="s">
        <v>74</v>
      </c>
      <c r="B123" s="0" t="s">
        <v>763</v>
      </c>
      <c r="C123" s="162" t="s">
        <v>761</v>
      </c>
      <c r="D123" s="0" t="n">
        <v>156</v>
      </c>
      <c r="E123" s="0" t="n">
        <v>5</v>
      </c>
      <c r="F123" s="114" t="n">
        <v>1</v>
      </c>
      <c r="G123" s="171" t="n">
        <f aca="false">Barrage[[#This Row],[Coefficient]]*Barrage[[#This Row],[Total Rounds]]*Barrage[[#This Row],[Base Damage]]</f>
        <v>780</v>
      </c>
      <c r="H123" s="183" t="s">
        <v>2621</v>
      </c>
      <c r="I123" s="114" t="n">
        <v>0.8</v>
      </c>
      <c r="J123" s="114" t="n">
        <v>1</v>
      </c>
      <c r="K123" s="114" t="n">
        <v>1.3</v>
      </c>
      <c r="L123" s="172"/>
      <c r="M123" s="173"/>
      <c r="N123" s="173"/>
      <c r="O123" s="173"/>
      <c r="P123" s="173"/>
      <c r="Q123" s="116"/>
      <c r="R123" s="0" t="s">
        <v>99</v>
      </c>
      <c r="T123" s="0" t="n">
        <v>1</v>
      </c>
    </row>
    <row r="124" customFormat="false" ht="14.4" hidden="false" customHeight="false" outlineLevel="0" collapsed="false">
      <c r="A124" s="0" t="s">
        <v>74</v>
      </c>
      <c r="B124" s="0" t="s">
        <v>843</v>
      </c>
      <c r="C124" s="0" t="s">
        <v>842</v>
      </c>
      <c r="D124" s="0" t="n">
        <v>28</v>
      </c>
      <c r="E124" s="0" t="n">
        <v>35</v>
      </c>
      <c r="F124" s="114" t="n">
        <v>1</v>
      </c>
      <c r="G124" s="171" t="n">
        <f aca="false">Barrage[[#This Row],[Coefficient]]*Barrage[[#This Row],[Total Rounds]]*Barrage[[#This Row],[Base Damage]]</f>
        <v>980</v>
      </c>
      <c r="H124" s="174" t="s">
        <v>2611</v>
      </c>
      <c r="I124" s="114" t="n">
        <v>0.95</v>
      </c>
      <c r="J124" s="114" t="n">
        <v>0.75</v>
      </c>
      <c r="K124" s="114" t="n">
        <v>0.45</v>
      </c>
      <c r="L124" s="172"/>
      <c r="M124" s="173"/>
      <c r="N124" s="173"/>
      <c r="O124" s="173"/>
      <c r="P124" s="173"/>
      <c r="Q124" s="116" t="n">
        <v>1</v>
      </c>
      <c r="R124" s="0" t="s">
        <v>98</v>
      </c>
      <c r="T124" s="0" t="n">
        <v>1</v>
      </c>
    </row>
    <row r="125" customFormat="false" ht="14.4" hidden="false" customHeight="false" outlineLevel="0" collapsed="false">
      <c r="A125" s="0" t="s">
        <v>74</v>
      </c>
      <c r="B125" s="0" t="s">
        <v>844</v>
      </c>
      <c r="C125" s="0" t="s">
        <v>842</v>
      </c>
      <c r="D125" s="0" t="n">
        <v>156</v>
      </c>
      <c r="E125" s="0" t="n">
        <v>5</v>
      </c>
      <c r="F125" s="114" t="n">
        <v>1</v>
      </c>
      <c r="G125" s="171" t="n">
        <f aca="false">Barrage[[#This Row],[Coefficient]]*Barrage[[#This Row],[Total Rounds]]*Barrage[[#This Row],[Base Damage]]</f>
        <v>780</v>
      </c>
      <c r="H125" s="183" t="s">
        <v>2621</v>
      </c>
      <c r="I125" s="114" t="n">
        <v>0.8</v>
      </c>
      <c r="J125" s="114" t="n">
        <v>1</v>
      </c>
      <c r="K125" s="114" t="n">
        <v>1.3</v>
      </c>
      <c r="L125" s="172"/>
      <c r="M125" s="173"/>
      <c r="N125" s="173"/>
      <c r="O125" s="173"/>
      <c r="P125" s="173"/>
      <c r="Q125" s="116"/>
      <c r="R125" s="0" t="s">
        <v>99</v>
      </c>
      <c r="T125" s="0" t="n">
        <v>1</v>
      </c>
    </row>
    <row r="126" customFormat="false" ht="14.4" hidden="false" customHeight="false" outlineLevel="0" collapsed="false">
      <c r="A126" s="0" t="s">
        <v>74</v>
      </c>
      <c r="B126" s="0" t="s">
        <v>1093</v>
      </c>
      <c r="C126" s="0" t="s">
        <v>1092</v>
      </c>
      <c r="D126" s="0" t="n">
        <v>32</v>
      </c>
      <c r="E126" s="0" t="n">
        <v>22</v>
      </c>
      <c r="F126" s="114" t="n">
        <v>1</v>
      </c>
      <c r="G126" s="171" t="n">
        <f aca="false">Barrage[[#This Row],[Coefficient]]*Barrage[[#This Row],[Total Rounds]]*Barrage[[#This Row],[Base Damage]]</f>
        <v>704</v>
      </c>
      <c r="H126" s="174" t="s">
        <v>2611</v>
      </c>
      <c r="I126" s="114" t="n">
        <v>1.1</v>
      </c>
      <c r="J126" s="114" t="n">
        <v>0.9</v>
      </c>
      <c r="K126" s="114" t="n">
        <v>0.6</v>
      </c>
      <c r="L126" s="172"/>
      <c r="M126" s="173"/>
      <c r="N126" s="173"/>
      <c r="O126" s="173"/>
      <c r="P126" s="173"/>
      <c r="Q126" s="116" t="n">
        <v>1</v>
      </c>
      <c r="R126" s="0" t="s">
        <v>98</v>
      </c>
      <c r="T126" s="0" t="n">
        <v>1</v>
      </c>
    </row>
    <row r="127" customFormat="false" ht="14.4" hidden="false" customHeight="false" outlineLevel="0" collapsed="false">
      <c r="A127" s="0" t="s">
        <v>74</v>
      </c>
      <c r="B127" s="0" t="s">
        <v>1094</v>
      </c>
      <c r="C127" s="0" t="s">
        <v>1092</v>
      </c>
      <c r="D127" s="0" t="n">
        <v>145</v>
      </c>
      <c r="E127" s="0" t="n">
        <v>4</v>
      </c>
      <c r="F127" s="114" t="n">
        <v>1</v>
      </c>
      <c r="G127" s="171" t="n">
        <f aca="false">Barrage[[#This Row],[Coefficient]]*Barrage[[#This Row],[Total Rounds]]*Barrage[[#This Row],[Base Damage]]</f>
        <v>580</v>
      </c>
      <c r="H127" s="183" t="s">
        <v>2621</v>
      </c>
      <c r="I127" s="114" t="n">
        <v>0.8</v>
      </c>
      <c r="J127" s="114" t="n">
        <v>1</v>
      </c>
      <c r="K127" s="114" t="n">
        <v>1.3</v>
      </c>
      <c r="L127" s="172"/>
      <c r="M127" s="173"/>
      <c r="N127" s="173"/>
      <c r="O127" s="173"/>
      <c r="P127" s="173"/>
      <c r="Q127" s="116"/>
      <c r="R127" s="0" t="s">
        <v>99</v>
      </c>
      <c r="T127" s="0" t="n">
        <v>1</v>
      </c>
    </row>
    <row r="128" customFormat="false" ht="14.4" hidden="false" customHeight="false" outlineLevel="0" collapsed="false">
      <c r="A128" s="0" t="s">
        <v>74</v>
      </c>
      <c r="B128" s="0" t="s">
        <v>1033</v>
      </c>
      <c r="C128" s="0" t="s">
        <v>1031</v>
      </c>
      <c r="D128" s="0" t="n">
        <v>130</v>
      </c>
      <c r="E128" s="0" t="n">
        <v>3</v>
      </c>
      <c r="F128" s="114" t="n">
        <v>1</v>
      </c>
      <c r="G128" s="171" t="n">
        <f aca="false">Barrage[[#This Row],[Coefficient]]*Barrage[[#This Row],[Total Rounds]]*Barrage[[#This Row],[Base Damage]]</f>
        <v>390</v>
      </c>
      <c r="H128" s="183" t="s">
        <v>2621</v>
      </c>
      <c r="I128" s="114" t="n">
        <v>0.8</v>
      </c>
      <c r="J128" s="114" t="n">
        <v>1</v>
      </c>
      <c r="K128" s="114" t="n">
        <v>1.3</v>
      </c>
      <c r="L128" s="172"/>
      <c r="M128" s="173"/>
      <c r="N128" s="173"/>
      <c r="O128" s="173"/>
      <c r="P128" s="173"/>
      <c r="Q128" s="116"/>
      <c r="R128" s="0" t="s">
        <v>99</v>
      </c>
      <c r="T128" s="0" t="n">
        <v>0.8</v>
      </c>
      <c r="U128" s="0" t="s">
        <v>2622</v>
      </c>
    </row>
    <row r="129" customFormat="false" ht="14.4" hidden="false" customHeight="false" outlineLevel="0" collapsed="false">
      <c r="A129" s="0" t="s">
        <v>74</v>
      </c>
      <c r="B129" s="0" t="s">
        <v>1041</v>
      </c>
      <c r="C129" s="0" t="s">
        <v>1040</v>
      </c>
      <c r="D129" s="0" t="n">
        <v>20</v>
      </c>
      <c r="E129" s="0" t="n">
        <v>32</v>
      </c>
      <c r="F129" s="114" t="n">
        <v>1</v>
      </c>
      <c r="G129" s="171" t="n">
        <f aca="false">Barrage[[#This Row],[Coefficient]]*Barrage[[#This Row],[Total Rounds]]*Barrage[[#This Row],[Base Damage]]</f>
        <v>640</v>
      </c>
      <c r="H129" s="183" t="s">
        <v>2602</v>
      </c>
      <c r="I129" s="114" t="n">
        <v>1</v>
      </c>
      <c r="J129" s="114" t="n">
        <v>0.7</v>
      </c>
      <c r="K129" s="114" t="n">
        <v>0.3</v>
      </c>
      <c r="L129" s="172"/>
      <c r="M129" s="173"/>
      <c r="N129" s="173"/>
      <c r="O129" s="173"/>
      <c r="P129" s="173"/>
      <c r="Q129" s="116"/>
      <c r="R129" s="0" t="s">
        <v>98</v>
      </c>
      <c r="T129" s="0" t="n">
        <v>1</v>
      </c>
    </row>
    <row r="130" customFormat="false" ht="14.4" hidden="false" customHeight="false" outlineLevel="0" collapsed="false">
      <c r="A130" s="0" t="s">
        <v>74</v>
      </c>
      <c r="B130" s="0" t="s">
        <v>1042</v>
      </c>
      <c r="C130" s="0" t="s">
        <v>1040</v>
      </c>
      <c r="D130" s="0" t="n">
        <v>23</v>
      </c>
      <c r="E130" s="0" t="n">
        <v>24</v>
      </c>
      <c r="F130" s="114" t="n">
        <v>1</v>
      </c>
      <c r="G130" s="171" t="n">
        <f aca="false">Barrage[[#This Row],[Coefficient]]*Barrage[[#This Row],[Total Rounds]]*Barrage[[#This Row],[Base Damage]]</f>
        <v>552</v>
      </c>
      <c r="H130" s="174" t="s">
        <v>2611</v>
      </c>
      <c r="I130" s="114" t="n">
        <v>1</v>
      </c>
      <c r="J130" s="114" t="n">
        <v>0.8</v>
      </c>
      <c r="K130" s="114" t="n">
        <v>0.6</v>
      </c>
      <c r="L130" s="172"/>
      <c r="M130" s="173"/>
      <c r="N130" s="173"/>
      <c r="O130" s="173"/>
      <c r="P130" s="173"/>
      <c r="Q130" s="116" t="n">
        <v>1</v>
      </c>
      <c r="R130" s="0" t="s">
        <v>98</v>
      </c>
      <c r="T130" s="0" t="n">
        <v>1</v>
      </c>
    </row>
    <row r="131" customFormat="false" ht="14.4" hidden="false" customHeight="false" outlineLevel="0" collapsed="false">
      <c r="A131" s="0" t="s">
        <v>74</v>
      </c>
      <c r="B131" s="0" t="s">
        <v>938</v>
      </c>
      <c r="C131" s="0" t="s">
        <v>933</v>
      </c>
      <c r="D131" s="0" t="n">
        <v>56</v>
      </c>
      <c r="E131" s="0" t="n">
        <v>5</v>
      </c>
      <c r="F131" s="114" t="n">
        <v>1.18</v>
      </c>
      <c r="G131" s="171" t="n">
        <f aca="false">Barrage[[#This Row],[Coefficient]]*Barrage[[#This Row],[Total Rounds]]*Barrage[[#This Row],[Base Damage]]</f>
        <v>330.4</v>
      </c>
      <c r="H131" s="175" t="s">
        <v>2612</v>
      </c>
      <c r="I131" s="114" t="n">
        <v>1</v>
      </c>
      <c r="J131" s="114" t="n">
        <v>1</v>
      </c>
      <c r="K131" s="114" t="n">
        <v>1</v>
      </c>
      <c r="L131" s="172" t="n">
        <v>1</v>
      </c>
      <c r="M131" s="173" t="n">
        <v>1</v>
      </c>
      <c r="N131" s="173"/>
      <c r="O131" s="173"/>
      <c r="P131" s="173"/>
      <c r="Q131" s="116"/>
      <c r="R131" s="0" t="s">
        <v>98</v>
      </c>
      <c r="T131" s="0" t="n">
        <v>1</v>
      </c>
      <c r="U131" s="0" t="s">
        <v>2674</v>
      </c>
    </row>
    <row r="132" customFormat="false" ht="14.4" hidden="false" customHeight="false" outlineLevel="0" collapsed="false">
      <c r="A132" s="0" t="s">
        <v>74</v>
      </c>
      <c r="B132" s="0" t="s">
        <v>711</v>
      </c>
      <c r="C132" s="0" t="s">
        <v>709</v>
      </c>
      <c r="D132" s="0" t="n">
        <v>10</v>
      </c>
      <c r="E132" s="0" t="n">
        <v>14</v>
      </c>
      <c r="F132" s="114" t="n">
        <v>1.25</v>
      </c>
      <c r="G132" s="171" t="n">
        <f aca="false">Barrage[[#This Row],[Coefficient]]*Barrage[[#This Row],[Total Rounds]]*Barrage[[#This Row],[Base Damage]]</f>
        <v>175</v>
      </c>
      <c r="H132" s="183" t="s">
        <v>2602</v>
      </c>
      <c r="I132" s="114" t="n">
        <v>1</v>
      </c>
      <c r="J132" s="114" t="n">
        <v>0.75</v>
      </c>
      <c r="K132" s="114" t="n">
        <v>0.4</v>
      </c>
      <c r="L132" s="172"/>
      <c r="M132" s="173"/>
      <c r="N132" s="173"/>
      <c r="O132" s="173"/>
      <c r="P132" s="173"/>
      <c r="Q132" s="116"/>
      <c r="R132" s="0" t="s">
        <v>98</v>
      </c>
      <c r="T132" s="0" t="n">
        <v>1</v>
      </c>
    </row>
    <row r="133" customFormat="false" ht="14.4" hidden="false" customHeight="false" outlineLevel="0" collapsed="false">
      <c r="A133" s="0" t="s">
        <v>74</v>
      </c>
      <c r="B133" s="0" t="s">
        <v>712</v>
      </c>
      <c r="C133" s="0" t="s">
        <v>709</v>
      </c>
      <c r="D133" s="0" t="n">
        <v>104</v>
      </c>
      <c r="E133" s="0" t="n">
        <v>7</v>
      </c>
      <c r="F133" s="114" t="n">
        <v>1</v>
      </c>
      <c r="G133" s="171" t="n">
        <f aca="false">Barrage[[#This Row],[Coefficient]]*Barrage[[#This Row],[Total Rounds]]*Barrage[[#This Row],[Base Damage]]</f>
        <v>728</v>
      </c>
      <c r="H133" s="183" t="s">
        <v>2621</v>
      </c>
      <c r="I133" s="114" t="n">
        <v>0.8</v>
      </c>
      <c r="J133" s="114" t="n">
        <v>1</v>
      </c>
      <c r="K133" s="114" t="n">
        <v>1.3</v>
      </c>
      <c r="L133" s="172"/>
      <c r="M133" s="173"/>
      <c r="N133" s="173"/>
      <c r="O133" s="173"/>
      <c r="P133" s="173"/>
      <c r="Q133" s="116"/>
      <c r="R133" s="0" t="s">
        <v>99</v>
      </c>
      <c r="T133" s="0" t="n">
        <v>1</v>
      </c>
    </row>
    <row r="134" customFormat="false" ht="14.4" hidden="false" customHeight="false" outlineLevel="0" collapsed="false">
      <c r="A134" s="0" t="s">
        <v>74</v>
      </c>
      <c r="B134" s="0" t="s">
        <v>815</v>
      </c>
      <c r="C134" s="0" t="s">
        <v>811</v>
      </c>
      <c r="D134" s="0" t="n">
        <v>85</v>
      </c>
      <c r="E134" s="0" t="n">
        <v>6</v>
      </c>
      <c r="F134" s="114" t="n">
        <v>1</v>
      </c>
      <c r="G134" s="171" t="n">
        <f aca="false">Barrage[[#This Row],[Coefficient]]*Barrage[[#This Row],[Total Rounds]]*Barrage[[#This Row],[Base Damage]]</f>
        <v>510</v>
      </c>
      <c r="H134" s="183" t="s">
        <v>2621</v>
      </c>
      <c r="I134" s="114" t="n">
        <v>0.8</v>
      </c>
      <c r="J134" s="114" t="n">
        <v>1</v>
      </c>
      <c r="K134" s="114" t="n">
        <v>1.3</v>
      </c>
      <c r="L134" s="172"/>
      <c r="M134" s="173"/>
      <c r="N134" s="173"/>
      <c r="O134" s="173"/>
      <c r="P134" s="173"/>
      <c r="Q134" s="116"/>
      <c r="R134" s="0" t="s">
        <v>99</v>
      </c>
      <c r="T134" s="0" t="n">
        <v>1</v>
      </c>
    </row>
    <row r="135" customFormat="false" ht="14.4" hidden="false" customHeight="false" outlineLevel="0" collapsed="false">
      <c r="B135" s="0" t="s">
        <v>2675</v>
      </c>
      <c r="C135" s="0" t="s">
        <v>811</v>
      </c>
      <c r="D135" s="0" t="n">
        <v>15</v>
      </c>
      <c r="E135" s="0" t="n">
        <v>24</v>
      </c>
      <c r="F135" s="114" t="n">
        <v>1</v>
      </c>
      <c r="G135" s="171" t="n">
        <f aca="false">Barrage[[#This Row],[Coefficient]]*Barrage[[#This Row],[Total Rounds]]*Barrage[[#This Row],[Base Damage]]</f>
        <v>360</v>
      </c>
      <c r="H135" s="183" t="s">
        <v>2602</v>
      </c>
      <c r="I135" s="114" t="n">
        <v>1.15</v>
      </c>
      <c r="J135" s="114" t="n">
        <v>1.15</v>
      </c>
      <c r="K135" s="114" t="n">
        <v>1.15</v>
      </c>
      <c r="L135" s="172"/>
      <c r="M135" s="173"/>
      <c r="N135" s="173"/>
      <c r="O135" s="173"/>
      <c r="P135" s="173"/>
      <c r="Q135" s="116"/>
    </row>
    <row r="136" customFormat="false" ht="14.4" hidden="false" customHeight="false" outlineLevel="0" collapsed="false">
      <c r="A136" s="0" t="s">
        <v>74</v>
      </c>
      <c r="B136" s="0" t="s">
        <v>832</v>
      </c>
      <c r="C136" s="0" t="s">
        <v>830</v>
      </c>
      <c r="D136" s="0" t="n">
        <v>104</v>
      </c>
      <c r="E136" s="0" t="n">
        <v>6</v>
      </c>
      <c r="F136" s="114" t="n">
        <v>1</v>
      </c>
      <c r="G136" s="171" t="n">
        <f aca="false">Barrage[[#This Row],[Coefficient]]*Barrage[[#This Row],[Total Rounds]]*Barrage[[#This Row],[Base Damage]]</f>
        <v>624</v>
      </c>
      <c r="H136" s="183" t="s">
        <v>2621</v>
      </c>
      <c r="I136" s="114" t="n">
        <v>0.8</v>
      </c>
      <c r="J136" s="114" t="n">
        <v>1</v>
      </c>
      <c r="K136" s="114" t="n">
        <v>1.3</v>
      </c>
      <c r="L136" s="172"/>
      <c r="M136" s="173"/>
      <c r="N136" s="173"/>
      <c r="O136" s="173"/>
      <c r="P136" s="173"/>
      <c r="Q136" s="116"/>
      <c r="R136" s="0" t="s">
        <v>99</v>
      </c>
      <c r="T136" s="0" t="n">
        <v>1</v>
      </c>
    </row>
    <row r="137" customFormat="false" ht="14.4" hidden="false" customHeight="false" outlineLevel="0" collapsed="false">
      <c r="A137" s="0" t="s">
        <v>74</v>
      </c>
      <c r="B137" s="0" t="s">
        <v>2676</v>
      </c>
      <c r="C137" s="0" t="s">
        <v>1113</v>
      </c>
      <c r="D137" s="0" t="n">
        <v>24</v>
      </c>
      <c r="E137" s="0" t="n">
        <v>18</v>
      </c>
      <c r="F137" s="114" t="n">
        <v>1</v>
      </c>
      <c r="G137" s="171" t="n">
        <f aca="false">Barrage[[#This Row],[Coefficient]]*Barrage[[#This Row],[Total Rounds]]*Barrage[[#This Row],[Base Damage]]</f>
        <v>432</v>
      </c>
      <c r="H137" s="183" t="s">
        <v>2602</v>
      </c>
      <c r="I137" s="114" t="n">
        <v>0.9</v>
      </c>
      <c r="J137" s="114" t="n">
        <v>0.7</v>
      </c>
      <c r="K137" s="114" t="n">
        <v>0.4</v>
      </c>
      <c r="L137" s="172"/>
      <c r="M137" s="173"/>
      <c r="N137" s="173"/>
      <c r="O137" s="173"/>
      <c r="P137" s="173"/>
      <c r="Q137" s="116"/>
      <c r="R137" s="0" t="s">
        <v>98</v>
      </c>
      <c r="T137" s="0" t="n">
        <v>1</v>
      </c>
    </row>
    <row r="138" customFormat="false" ht="14.4" hidden="false" customHeight="false" outlineLevel="0" collapsed="false">
      <c r="A138" s="0" t="s">
        <v>74</v>
      </c>
      <c r="B138" s="0" t="s">
        <v>1071</v>
      </c>
      <c r="C138" s="0" t="s">
        <v>1070</v>
      </c>
      <c r="D138" s="0" t="n">
        <v>36</v>
      </c>
      <c r="E138" s="0" t="n">
        <v>30</v>
      </c>
      <c r="F138" s="114" t="n">
        <v>1</v>
      </c>
      <c r="G138" s="171" t="n">
        <f aca="false">Barrage[[#This Row],[Coefficient]]*Barrage[[#This Row],[Total Rounds]]*Barrage[[#This Row],[Base Damage]]</f>
        <v>1080</v>
      </c>
      <c r="H138" s="174" t="s">
        <v>2611</v>
      </c>
      <c r="I138" s="114" t="n">
        <v>1.2</v>
      </c>
      <c r="J138" s="114" t="n">
        <v>0.9</v>
      </c>
      <c r="K138" s="114" t="n">
        <v>0.6</v>
      </c>
      <c r="L138" s="172"/>
      <c r="M138" s="173"/>
      <c r="N138" s="173"/>
      <c r="O138" s="173"/>
      <c r="P138" s="173"/>
      <c r="Q138" s="116" t="n">
        <v>1</v>
      </c>
      <c r="R138" s="0" t="s">
        <v>98</v>
      </c>
      <c r="T138" s="0" t="n">
        <v>1</v>
      </c>
    </row>
    <row r="139" customFormat="false" ht="14.4" hidden="false" customHeight="false" outlineLevel="0" collapsed="false">
      <c r="A139" s="0" t="s">
        <v>121</v>
      </c>
      <c r="B139" s="0" t="s">
        <v>1415</v>
      </c>
      <c r="C139" s="0" t="s">
        <v>1414</v>
      </c>
      <c r="D139" s="0" t="n">
        <v>21</v>
      </c>
      <c r="E139" s="0" t="n">
        <v>24</v>
      </c>
      <c r="F139" s="114" t="n">
        <v>1</v>
      </c>
      <c r="G139" s="171" t="n">
        <f aca="false">Barrage[[#This Row],[Coefficient]]*Barrage[[#This Row],[Total Rounds]]*Barrage[[#This Row],[Base Damage]]</f>
        <v>504</v>
      </c>
      <c r="H139" s="183" t="s">
        <v>2602</v>
      </c>
      <c r="I139" s="114" t="n">
        <v>1</v>
      </c>
      <c r="J139" s="114" t="n">
        <v>0.8</v>
      </c>
      <c r="K139" s="114" t="n">
        <v>0.6</v>
      </c>
      <c r="L139" s="172"/>
      <c r="M139" s="173"/>
      <c r="N139" s="173"/>
      <c r="O139" s="173"/>
      <c r="P139" s="173"/>
      <c r="Q139" s="116"/>
      <c r="R139" s="0" t="s">
        <v>98</v>
      </c>
      <c r="T139" s="0" t="n">
        <v>1</v>
      </c>
    </row>
    <row r="140" customFormat="false" ht="14.4" hidden="false" customHeight="false" outlineLevel="0" collapsed="false">
      <c r="A140" s="0" t="s">
        <v>121</v>
      </c>
      <c r="B140" s="0" t="s">
        <v>1416</v>
      </c>
      <c r="C140" s="0" t="s">
        <v>1414</v>
      </c>
      <c r="D140" s="0" t="n">
        <v>386</v>
      </c>
      <c r="E140" s="0" t="n">
        <v>18</v>
      </c>
      <c r="F140" s="114" t="n">
        <v>1</v>
      </c>
      <c r="G140" s="171" t="n">
        <f aca="false">Barrage[[#This Row],[Coefficient]]*Barrage[[#This Row],[Total Rounds]]*Barrage[[#This Row],[Base Damage]]</f>
        <v>6948</v>
      </c>
      <c r="H140" s="174" t="s">
        <v>2611</v>
      </c>
      <c r="I140" s="114" t="n">
        <v>0.7</v>
      </c>
      <c r="J140" s="114" t="n">
        <v>1.1</v>
      </c>
      <c r="K140" s="114" t="n">
        <v>0.9</v>
      </c>
      <c r="L140" s="172" t="n">
        <v>0.2</v>
      </c>
      <c r="M140" s="173" t="n">
        <v>2</v>
      </c>
      <c r="N140" s="173"/>
      <c r="O140" s="173"/>
      <c r="P140" s="173"/>
      <c r="Q140" s="116" t="n">
        <v>2</v>
      </c>
      <c r="R140" s="0" t="s">
        <v>98</v>
      </c>
      <c r="T140" s="0" t="n">
        <v>1</v>
      </c>
    </row>
    <row r="141" customFormat="false" ht="14.4" hidden="false" customHeight="false" outlineLevel="0" collapsed="false">
      <c r="A141" s="0" t="s">
        <v>121</v>
      </c>
      <c r="B141" s="0" t="s">
        <v>1417</v>
      </c>
      <c r="C141" s="0" t="s">
        <v>1414</v>
      </c>
      <c r="D141" s="0" t="n">
        <v>16</v>
      </c>
      <c r="E141" s="0" t="n">
        <v>62</v>
      </c>
      <c r="F141" s="114" t="n">
        <v>1</v>
      </c>
      <c r="G141" s="171" t="n">
        <f aca="false">Barrage[[#This Row],[Coefficient]]*Barrage[[#This Row],[Total Rounds]]*Barrage[[#This Row],[Base Damage]]</f>
        <v>992</v>
      </c>
      <c r="H141" s="183" t="s">
        <v>2602</v>
      </c>
      <c r="I141" s="114" t="n">
        <v>1</v>
      </c>
      <c r="J141" s="114" t="n">
        <v>0.5</v>
      </c>
      <c r="K141" s="114" t="n">
        <v>0.2</v>
      </c>
      <c r="L141" s="172"/>
      <c r="M141" s="173"/>
      <c r="N141" s="173"/>
      <c r="O141" s="173"/>
      <c r="P141" s="173"/>
      <c r="Q141" s="116"/>
      <c r="R141" s="0" t="s">
        <v>98</v>
      </c>
      <c r="T141" s="0" t="n">
        <v>1</v>
      </c>
    </row>
    <row r="142" customFormat="false" ht="14.4" hidden="false" customHeight="false" outlineLevel="0" collapsed="false">
      <c r="A142" s="0" t="s">
        <v>121</v>
      </c>
      <c r="B142" s="0" t="s">
        <v>1440</v>
      </c>
      <c r="C142" s="0" t="s">
        <v>392</v>
      </c>
      <c r="D142" s="0" t="n">
        <v>24</v>
      </c>
      <c r="E142" s="0" t="n">
        <v>30</v>
      </c>
      <c r="F142" s="114" t="n">
        <v>1</v>
      </c>
      <c r="G142" s="171" t="n">
        <f aca="false">Barrage[[#This Row],[Coefficient]]*Barrage[[#This Row],[Total Rounds]]*Barrage[[#This Row],[Base Damage]]</f>
        <v>720</v>
      </c>
      <c r="H142" s="175" t="s">
        <v>2612</v>
      </c>
      <c r="I142" s="114" t="n">
        <v>1.2</v>
      </c>
      <c r="J142" s="114" t="n">
        <v>0.6</v>
      </c>
      <c r="K142" s="114" t="n">
        <v>0.6</v>
      </c>
      <c r="L142" s="172" t="n">
        <v>0.01</v>
      </c>
      <c r="M142" s="173" t="n">
        <v>1</v>
      </c>
      <c r="N142" s="173"/>
      <c r="O142" s="173"/>
      <c r="P142" s="173"/>
      <c r="Q142" s="116"/>
      <c r="R142" s="0" t="s">
        <v>98</v>
      </c>
      <c r="T142" s="0" t="n">
        <v>1</v>
      </c>
      <c r="U142" s="0" t="s">
        <v>2677</v>
      </c>
    </row>
    <row r="143" customFormat="false" ht="14.4" hidden="false" customHeight="false" outlineLevel="0" collapsed="false">
      <c r="A143" s="0" t="s">
        <v>121</v>
      </c>
      <c r="B143" s="0" t="s">
        <v>1431</v>
      </c>
      <c r="C143" s="0" t="s">
        <v>1430</v>
      </c>
      <c r="D143" s="0" t="n">
        <v>40</v>
      </c>
      <c r="E143" s="0" t="n">
        <v>3</v>
      </c>
      <c r="F143" s="114" t="n">
        <v>1.15</v>
      </c>
      <c r="G143" s="171" t="n">
        <f aca="false">Barrage[[#This Row],[Coefficient]]*Barrage[[#This Row],[Total Rounds]]*Barrage[[#This Row],[Base Damage]]</f>
        <v>138</v>
      </c>
      <c r="H143" s="183" t="s">
        <v>2621</v>
      </c>
      <c r="I143" s="114" t="n">
        <v>1</v>
      </c>
      <c r="J143" s="114" t="n">
        <v>1</v>
      </c>
      <c r="K143" s="114" t="n">
        <v>1</v>
      </c>
      <c r="L143" s="172"/>
      <c r="M143" s="173"/>
      <c r="N143" s="173"/>
      <c r="O143" s="173"/>
      <c r="P143" s="173"/>
      <c r="Q143" s="116"/>
      <c r="R143" s="0" t="s">
        <v>99</v>
      </c>
      <c r="T143" s="0" t="n">
        <v>1</v>
      </c>
      <c r="U143" s="0" t="s">
        <v>2678</v>
      </c>
    </row>
    <row r="144" customFormat="false" ht="14.4" hidden="false" customHeight="false" outlineLevel="0" collapsed="false">
      <c r="A144" s="0" t="s">
        <v>121</v>
      </c>
      <c r="B144" s="0" t="s">
        <v>2679</v>
      </c>
      <c r="C144" s="0" t="s">
        <v>1430</v>
      </c>
      <c r="D144" s="0" t="n">
        <v>40</v>
      </c>
      <c r="E144" s="0" t="n">
        <v>6</v>
      </c>
      <c r="F144" s="114" t="n">
        <v>1.45</v>
      </c>
      <c r="G144" s="171" t="n">
        <f aca="false">Barrage[[#This Row],[Coefficient]]*Barrage[[#This Row],[Total Rounds]]*Barrage[[#This Row],[Base Damage]]</f>
        <v>348</v>
      </c>
      <c r="H144" s="183" t="s">
        <v>2621</v>
      </c>
      <c r="I144" s="114" t="n">
        <v>1</v>
      </c>
      <c r="J144" s="114" t="n">
        <v>1</v>
      </c>
      <c r="K144" s="114" t="n">
        <v>1</v>
      </c>
      <c r="L144" s="172"/>
      <c r="M144" s="173"/>
      <c r="N144" s="173"/>
      <c r="O144" s="173"/>
      <c r="P144" s="173"/>
      <c r="Q144" s="116"/>
      <c r="R144" s="0" t="s">
        <v>99</v>
      </c>
      <c r="T144" s="0" t="n">
        <v>1</v>
      </c>
      <c r="U144" s="0" t="s">
        <v>2678</v>
      </c>
    </row>
    <row r="145" customFormat="false" ht="14.4" hidden="false" customHeight="false" outlineLevel="0" collapsed="false">
      <c r="A145" s="0" t="s">
        <v>121</v>
      </c>
      <c r="B145" s="0" t="s">
        <v>2680</v>
      </c>
      <c r="C145" s="0" t="s">
        <v>1430</v>
      </c>
      <c r="D145" s="0" t="n">
        <v>40</v>
      </c>
      <c r="E145" s="0" t="n">
        <v>6</v>
      </c>
      <c r="F145" s="114" t="n">
        <v>1.65</v>
      </c>
      <c r="G145" s="171" t="n">
        <f aca="false">Barrage[[#This Row],[Coefficient]]*Barrage[[#This Row],[Total Rounds]]*Barrage[[#This Row],[Base Damage]]</f>
        <v>396</v>
      </c>
      <c r="H145" s="183" t="s">
        <v>2621</v>
      </c>
      <c r="I145" s="114" t="n">
        <v>1</v>
      </c>
      <c r="J145" s="114" t="n">
        <v>1</v>
      </c>
      <c r="K145" s="114" t="n">
        <v>1</v>
      </c>
      <c r="L145" s="172"/>
      <c r="M145" s="173"/>
      <c r="N145" s="173"/>
      <c r="O145" s="173"/>
      <c r="P145" s="173"/>
      <c r="Q145" s="116"/>
      <c r="R145" s="0" t="s">
        <v>99</v>
      </c>
      <c r="T145" s="0" t="n">
        <v>1</v>
      </c>
      <c r="U145" s="0" t="s">
        <v>2678</v>
      </c>
    </row>
    <row r="146" customFormat="false" ht="14.4" hidden="false" customHeight="false" outlineLevel="0" collapsed="false">
      <c r="A146" s="0" t="s">
        <v>121</v>
      </c>
      <c r="B146" s="0" t="s">
        <v>2681</v>
      </c>
      <c r="C146" s="0" t="s">
        <v>1430</v>
      </c>
      <c r="D146" s="0" t="n">
        <v>140</v>
      </c>
      <c r="E146" s="0" t="n">
        <v>1</v>
      </c>
      <c r="F146" s="114" t="n">
        <v>3</v>
      </c>
      <c r="G146" s="171" t="n">
        <f aca="false">Barrage[[#This Row],[Coefficient]]*Barrage[[#This Row],[Total Rounds]]*Barrage[[#This Row],[Base Damage]]</f>
        <v>420</v>
      </c>
      <c r="H146" s="183" t="s">
        <v>2621</v>
      </c>
      <c r="I146" s="114" t="n">
        <v>1</v>
      </c>
      <c r="J146" s="114" t="n">
        <v>1</v>
      </c>
      <c r="K146" s="114" t="n">
        <v>1</v>
      </c>
      <c r="L146" s="172"/>
      <c r="M146" s="173"/>
      <c r="N146" s="173"/>
      <c r="O146" s="173"/>
      <c r="P146" s="173"/>
      <c r="Q146" s="116"/>
      <c r="R146" s="0" t="s">
        <v>99</v>
      </c>
      <c r="T146" s="0" t="n">
        <v>1</v>
      </c>
      <c r="U146" s="0" t="s">
        <v>2678</v>
      </c>
    </row>
    <row r="147" customFormat="false" ht="14.4" hidden="false" customHeight="false" outlineLevel="0" collapsed="false">
      <c r="A147" s="0" t="s">
        <v>121</v>
      </c>
      <c r="B147" s="0" t="s">
        <v>1247</v>
      </c>
      <c r="C147" s="0" t="s">
        <v>1246</v>
      </c>
      <c r="D147" s="0" t="n">
        <v>62</v>
      </c>
      <c r="E147" s="0" t="n">
        <v>12</v>
      </c>
      <c r="F147" s="114" t="n">
        <v>1</v>
      </c>
      <c r="G147" s="171" t="n">
        <f aca="false">Barrage[[#This Row],[Coefficient]]*Barrage[[#This Row],[Total Rounds]]*Barrage[[#This Row],[Base Damage]]</f>
        <v>744</v>
      </c>
      <c r="H147" s="183" t="s">
        <v>2602</v>
      </c>
      <c r="I147" s="114" t="n">
        <v>1</v>
      </c>
      <c r="J147" s="114" t="n">
        <v>0.8</v>
      </c>
      <c r="K147" s="114" t="n">
        <v>0.6</v>
      </c>
      <c r="L147" s="172"/>
      <c r="M147" s="173"/>
      <c r="N147" s="173"/>
      <c r="O147" s="173"/>
      <c r="P147" s="173"/>
      <c r="Q147" s="116"/>
      <c r="R147" s="0" t="s">
        <v>98</v>
      </c>
      <c r="T147" s="0" t="n">
        <v>1</v>
      </c>
    </row>
    <row r="148" customFormat="false" ht="14.4" hidden="false" customHeight="false" outlineLevel="0" collapsed="false">
      <c r="A148" s="0" t="s">
        <v>121</v>
      </c>
      <c r="B148" s="0" t="s">
        <v>1248</v>
      </c>
      <c r="C148" s="0" t="s">
        <v>1246</v>
      </c>
      <c r="D148" s="0" t="n">
        <v>72</v>
      </c>
      <c r="E148" s="0" t="n">
        <v>12</v>
      </c>
      <c r="F148" s="114" t="n">
        <v>1</v>
      </c>
      <c r="G148" s="171" t="n">
        <f aca="false">Barrage[[#This Row],[Coefficient]]*Barrage[[#This Row],[Total Rounds]]*Barrage[[#This Row],[Base Damage]]</f>
        <v>864</v>
      </c>
      <c r="H148" s="183" t="s">
        <v>2621</v>
      </c>
      <c r="I148" s="114" t="n">
        <v>0.7</v>
      </c>
      <c r="J148" s="114" t="n">
        <v>0.9</v>
      </c>
      <c r="K148" s="114" t="n">
        <v>1.2</v>
      </c>
      <c r="L148" s="172"/>
      <c r="M148" s="173"/>
      <c r="N148" s="173"/>
      <c r="O148" s="173"/>
      <c r="P148" s="173"/>
      <c r="Q148" s="116"/>
      <c r="R148" s="0" t="s">
        <v>99</v>
      </c>
      <c r="T148" s="0" t="n">
        <v>1</v>
      </c>
    </row>
    <row r="149" customFormat="false" ht="14.4" hidden="false" customHeight="false" outlineLevel="0" collapsed="false">
      <c r="A149" s="0" t="s">
        <v>394</v>
      </c>
      <c r="B149" s="152" t="s">
        <v>1576</v>
      </c>
      <c r="C149" s="162" t="s">
        <v>1575</v>
      </c>
      <c r="D149" s="0" t="n">
        <v>26</v>
      </c>
      <c r="E149" s="0" t="n">
        <v>12</v>
      </c>
      <c r="F149" s="114" t="n">
        <v>1</v>
      </c>
      <c r="G149" s="171" t="n">
        <f aca="false">Barrage[[#This Row],[Coefficient]]*Barrage[[#This Row],[Total Rounds]]*Barrage[[#This Row],[Base Damage]]</f>
        <v>312</v>
      </c>
      <c r="H149" s="183" t="s">
        <v>2602</v>
      </c>
      <c r="I149" s="114" t="n">
        <v>1</v>
      </c>
      <c r="J149" s="114" t="n">
        <v>0.75</v>
      </c>
      <c r="K149" s="114" t="n">
        <v>0.4</v>
      </c>
      <c r="L149" s="172"/>
      <c r="M149" s="173"/>
      <c r="N149" s="173"/>
      <c r="O149" s="173"/>
      <c r="P149" s="173"/>
      <c r="Q149" s="116"/>
      <c r="R149" s="0" t="s">
        <v>98</v>
      </c>
      <c r="T149" s="0" t="n">
        <v>1</v>
      </c>
    </row>
    <row r="150" customFormat="false" ht="14.4" hidden="false" customHeight="false" outlineLevel="0" collapsed="false">
      <c r="A150" s="0" t="s">
        <v>394</v>
      </c>
      <c r="B150" s="152" t="s">
        <v>1577</v>
      </c>
      <c r="C150" s="162" t="s">
        <v>1575</v>
      </c>
      <c r="D150" s="162" t="n">
        <v>26</v>
      </c>
      <c r="E150" s="162" t="n">
        <v>12</v>
      </c>
      <c r="F150" s="114" t="n">
        <v>1</v>
      </c>
      <c r="G150" s="171" t="n">
        <f aca="false">Barrage[[#This Row],[Coefficient]]*Barrage[[#This Row],[Total Rounds]]*Barrage[[#This Row],[Base Damage]]</f>
        <v>312</v>
      </c>
      <c r="H150" s="185" t="s">
        <v>2611</v>
      </c>
      <c r="I150" s="177" t="n">
        <v>1</v>
      </c>
      <c r="J150" s="177" t="n">
        <v>0.8</v>
      </c>
      <c r="K150" s="177" t="n">
        <v>0.6</v>
      </c>
      <c r="L150" s="179"/>
      <c r="M150" s="180"/>
      <c r="N150" s="180"/>
      <c r="O150" s="180"/>
      <c r="P150" s="180"/>
      <c r="Q150" s="181" t="n">
        <v>1</v>
      </c>
      <c r="R150" s="0" t="s">
        <v>98</v>
      </c>
      <c r="T150" s="0" t="n">
        <v>1</v>
      </c>
      <c r="U150" s="162"/>
    </row>
    <row r="151" customFormat="false" ht="14.4" hidden="false" customHeight="false" outlineLevel="0" collapsed="false">
      <c r="A151" s="0" t="s">
        <v>394</v>
      </c>
      <c r="B151" s="152" t="s">
        <v>1578</v>
      </c>
      <c r="C151" s="162" t="s">
        <v>1575</v>
      </c>
      <c r="D151" s="0" t="n">
        <v>26</v>
      </c>
      <c r="E151" s="0" t="n">
        <v>12</v>
      </c>
      <c r="F151" s="114" t="n">
        <v>1</v>
      </c>
      <c r="G151" s="171" t="n">
        <f aca="false">Barrage[[#This Row],[Coefficient]]*Barrage[[#This Row],[Total Rounds]]*Barrage[[#This Row],[Base Damage]]</f>
        <v>312</v>
      </c>
      <c r="H151" s="175" t="s">
        <v>2612</v>
      </c>
      <c r="I151" s="114" t="n">
        <v>1.35</v>
      </c>
      <c r="J151" s="114" t="n">
        <v>1.05</v>
      </c>
      <c r="K151" s="114" t="n">
        <v>0.7</v>
      </c>
      <c r="L151" s="172"/>
      <c r="M151" s="173"/>
      <c r="N151" s="173"/>
      <c r="O151" s="173"/>
      <c r="P151" s="173"/>
      <c r="Q151" s="116"/>
      <c r="R151" s="0" t="s">
        <v>98</v>
      </c>
      <c r="T151" s="0" t="n">
        <v>1</v>
      </c>
    </row>
    <row r="152" customFormat="false" ht="14.4" hidden="false" customHeight="false" outlineLevel="0" collapsed="false">
      <c r="A152" s="0" t="s">
        <v>394</v>
      </c>
      <c r="B152" s="0" t="s">
        <v>1634</v>
      </c>
      <c r="C152" s="0" t="s">
        <v>1632</v>
      </c>
      <c r="D152" s="0" t="n">
        <v>104</v>
      </c>
      <c r="E152" s="0" t="n">
        <v>8</v>
      </c>
      <c r="F152" s="114" t="n">
        <v>1</v>
      </c>
      <c r="G152" s="171" t="n">
        <f aca="false">Barrage[[#This Row],[Coefficient]]*Barrage[[#This Row],[Total Rounds]]*Barrage[[#This Row],[Base Damage]]</f>
        <v>832</v>
      </c>
      <c r="H152" s="183" t="s">
        <v>2621</v>
      </c>
      <c r="I152" s="114" t="n">
        <v>0.65</v>
      </c>
      <c r="J152" s="114" t="n">
        <v>0.85</v>
      </c>
      <c r="K152" s="114" t="n">
        <v>1.15</v>
      </c>
      <c r="L152" s="172"/>
      <c r="M152" s="173"/>
      <c r="N152" s="173"/>
      <c r="O152" s="173"/>
      <c r="P152" s="173"/>
      <c r="Q152" s="116"/>
      <c r="R152" s="0" t="s">
        <v>99</v>
      </c>
      <c r="T152" s="0" t="n">
        <v>1.2</v>
      </c>
      <c r="U152" s="0" t="s">
        <v>2682</v>
      </c>
    </row>
    <row r="153" customFormat="false" ht="14.4" hidden="false" customHeight="false" outlineLevel="0" collapsed="false">
      <c r="A153" s="0" t="s">
        <v>394</v>
      </c>
      <c r="B153" s="0" t="s">
        <v>1662</v>
      </c>
      <c r="C153" s="0" t="s">
        <v>1661</v>
      </c>
      <c r="D153" s="0" t="n">
        <v>7</v>
      </c>
      <c r="E153" s="0" t="n">
        <v>16</v>
      </c>
      <c r="F153" s="114" t="n">
        <v>2.65</v>
      </c>
      <c r="G153" s="171" t="n">
        <f aca="false">Barrage[[#This Row],[Coefficient]]*Barrage[[#This Row],[Total Rounds]]*Barrage[[#This Row],[Base Damage]]</f>
        <v>296.8</v>
      </c>
      <c r="H153" s="183" t="s">
        <v>2621</v>
      </c>
      <c r="I153" s="114" t="n">
        <v>1</v>
      </c>
      <c r="J153" s="114" t="n">
        <v>1</v>
      </c>
      <c r="K153" s="114" t="n">
        <v>1</v>
      </c>
      <c r="L153" s="172"/>
      <c r="M153" s="173"/>
      <c r="N153" s="173"/>
      <c r="O153" s="173"/>
      <c r="P153" s="173"/>
      <c r="Q153" s="116"/>
      <c r="R153" s="0" t="s">
        <v>99</v>
      </c>
      <c r="T153" s="0" t="n">
        <v>1</v>
      </c>
      <c r="U153" s="0" t="s">
        <v>2678</v>
      </c>
    </row>
    <row r="154" customFormat="false" ht="14.4" hidden="false" customHeight="false" outlineLevel="0" collapsed="false">
      <c r="A154" s="0" t="s">
        <v>394</v>
      </c>
      <c r="B154" s="0" t="s">
        <v>1542</v>
      </c>
      <c r="C154" s="0" t="s">
        <v>1538</v>
      </c>
      <c r="D154" s="0" t="n">
        <v>20</v>
      </c>
      <c r="E154" s="0" t="n">
        <v>8</v>
      </c>
      <c r="F154" s="114" t="n">
        <v>1</v>
      </c>
      <c r="G154" s="171" t="n">
        <f aca="false">Barrage[[#This Row],[Coefficient]]*Barrage[[#This Row],[Total Rounds]]*Barrage[[#This Row],[Base Damage]]</f>
        <v>160</v>
      </c>
      <c r="H154" s="175" t="s">
        <v>2612</v>
      </c>
      <c r="I154" s="114" t="n">
        <v>1.35</v>
      </c>
      <c r="J154" s="114" t="n">
        <v>0.95</v>
      </c>
      <c r="K154" s="114" t="n">
        <v>0.75</v>
      </c>
      <c r="L154" s="172"/>
      <c r="M154" s="173"/>
      <c r="N154" s="173"/>
      <c r="O154" s="173"/>
      <c r="P154" s="173"/>
      <c r="Q154" s="116"/>
      <c r="R154" s="0" t="s">
        <v>98</v>
      </c>
      <c r="T154" s="0" t="n">
        <v>1</v>
      </c>
    </row>
    <row r="155" customFormat="false" ht="14.4" hidden="false" customHeight="false" outlineLevel="0" collapsed="false">
      <c r="A155" s="0" t="s">
        <v>1557</v>
      </c>
      <c r="B155" s="0" t="s">
        <v>1558</v>
      </c>
      <c r="C155" s="0" t="s">
        <v>1556</v>
      </c>
      <c r="D155" s="0" t="n">
        <v>15</v>
      </c>
      <c r="E155" s="0" t="n">
        <v>32</v>
      </c>
      <c r="F155" s="114" t="n">
        <v>1</v>
      </c>
      <c r="G155" s="171" t="n">
        <f aca="false">Barrage[[#This Row],[Coefficient]]*Barrage[[#This Row],[Total Rounds]]*Barrage[[#This Row],[Base Damage]]</f>
        <v>480</v>
      </c>
      <c r="H155" s="175" t="s">
        <v>2612</v>
      </c>
      <c r="I155" s="114" t="n">
        <v>0.8</v>
      </c>
      <c r="J155" s="114" t="n">
        <v>0.8</v>
      </c>
      <c r="K155" s="114" t="n">
        <v>0.8</v>
      </c>
      <c r="L155" s="172"/>
      <c r="M155" s="173"/>
      <c r="N155" s="173"/>
      <c r="O155" s="173"/>
      <c r="P155" s="173"/>
      <c r="Q155" s="116"/>
      <c r="R155" s="0" t="s">
        <v>98</v>
      </c>
      <c r="T155" s="0" t="n">
        <v>1</v>
      </c>
    </row>
    <row r="156" customFormat="false" ht="14.4" hidden="false" customHeight="false" outlineLevel="0" collapsed="false">
      <c r="A156" s="0" t="s">
        <v>1557</v>
      </c>
      <c r="B156" s="0" t="s">
        <v>1559</v>
      </c>
      <c r="C156" s="0" t="s">
        <v>1556</v>
      </c>
      <c r="D156" s="0" t="n">
        <v>62</v>
      </c>
      <c r="E156" s="0" t="n">
        <v>9</v>
      </c>
      <c r="F156" s="114" t="n">
        <v>1</v>
      </c>
      <c r="G156" s="171" t="n">
        <f aca="false">Barrage[[#This Row],[Coefficient]]*Barrage[[#This Row],[Total Rounds]]*Barrage[[#This Row],[Base Damage]]</f>
        <v>558</v>
      </c>
      <c r="H156" s="175" t="s">
        <v>2612</v>
      </c>
      <c r="I156" s="114" t="n">
        <v>1.35</v>
      </c>
      <c r="J156" s="114" t="n">
        <v>0.95</v>
      </c>
      <c r="K156" s="114" t="n">
        <v>0.7</v>
      </c>
      <c r="L156" s="172" t="n">
        <v>1</v>
      </c>
      <c r="M156" s="173" t="n">
        <v>3</v>
      </c>
      <c r="N156" s="173"/>
      <c r="O156" s="173"/>
      <c r="P156" s="173"/>
      <c r="Q156" s="116"/>
      <c r="R156" s="0" t="s">
        <v>98</v>
      </c>
      <c r="T156" s="0" t="n">
        <v>1</v>
      </c>
    </row>
    <row r="157" customFormat="false" ht="14.4" hidden="false" customHeight="false" outlineLevel="0" collapsed="false">
      <c r="A157" s="0" t="s">
        <v>1557</v>
      </c>
      <c r="B157" s="0" t="s">
        <v>1560</v>
      </c>
      <c r="C157" s="0" t="s">
        <v>1556</v>
      </c>
      <c r="D157" s="0" t="n">
        <v>62</v>
      </c>
      <c r="E157" s="0" t="n">
        <v>6</v>
      </c>
      <c r="F157" s="114" t="n">
        <v>1</v>
      </c>
      <c r="G157" s="171" t="n">
        <f aca="false">Barrage[[#This Row],[Coefficient]]*Barrage[[#This Row],[Total Rounds]]*Barrage[[#This Row],[Base Damage]]</f>
        <v>372</v>
      </c>
      <c r="H157" s="175" t="s">
        <v>2683</v>
      </c>
      <c r="I157" s="114" t="n">
        <v>1.35</v>
      </c>
      <c r="J157" s="114" t="n">
        <v>0.95</v>
      </c>
      <c r="K157" s="114" t="n">
        <v>0.7</v>
      </c>
      <c r="L157" s="172" t="n">
        <v>1</v>
      </c>
      <c r="M157" s="173" t="n">
        <v>3</v>
      </c>
      <c r="N157" s="173"/>
      <c r="O157" s="173"/>
      <c r="P157" s="173"/>
      <c r="Q157" s="116"/>
      <c r="R157" s="0" t="s">
        <v>98</v>
      </c>
      <c r="T157" s="0" t="n">
        <v>1</v>
      </c>
    </row>
    <row r="158" customFormat="false" ht="14.4" hidden="false" customHeight="false" outlineLevel="0" collapsed="false">
      <c r="A158" s="0" t="s">
        <v>2684</v>
      </c>
      <c r="B158" s="0" t="s">
        <v>1903</v>
      </c>
      <c r="C158" s="0" t="s">
        <v>1902</v>
      </c>
      <c r="D158" s="0" t="n">
        <v>174</v>
      </c>
      <c r="E158" s="0" t="n">
        <v>13</v>
      </c>
      <c r="F158" s="114" t="n">
        <v>1</v>
      </c>
      <c r="G158" s="171" t="n">
        <f aca="false">Barrage[[#This Row],[Coefficient]]*Barrage[[#This Row],[Total Rounds]]*Barrage[[#This Row],[Base Damage]]</f>
        <v>2262</v>
      </c>
      <c r="H158" s="183" t="s">
        <v>2602</v>
      </c>
      <c r="I158" s="114" t="n">
        <v>0.7</v>
      </c>
      <c r="J158" s="114" t="n">
        <v>1</v>
      </c>
      <c r="K158" s="114" t="n">
        <v>0.9</v>
      </c>
      <c r="L158" s="172"/>
      <c r="M158" s="173"/>
      <c r="N158" s="173"/>
      <c r="O158" s="173"/>
      <c r="P158" s="173"/>
      <c r="Q158" s="116"/>
      <c r="R158" s="0" t="s">
        <v>98</v>
      </c>
      <c r="T158" s="0" t="n">
        <v>1</v>
      </c>
      <c r="U158" s="0" t="s">
        <v>2623</v>
      </c>
    </row>
    <row r="159" customFormat="false" ht="14.4" hidden="false" customHeight="false" outlineLevel="0" collapsed="false">
      <c r="A159" s="0" t="s">
        <v>2684</v>
      </c>
      <c r="B159" s="0" t="s">
        <v>2042</v>
      </c>
      <c r="C159" s="0" t="s">
        <v>2041</v>
      </c>
      <c r="D159" s="0" t="n">
        <v>106</v>
      </c>
      <c r="E159" s="0" t="n">
        <v>3</v>
      </c>
      <c r="F159" s="114" t="n">
        <v>1.1</v>
      </c>
      <c r="G159" s="171" t="n">
        <f aca="false">Barrage[[#This Row],[Coefficient]]*Barrage[[#This Row],[Total Rounds]]*Barrage[[#This Row],[Base Damage]]</f>
        <v>349.8</v>
      </c>
      <c r="H159" s="174" t="s">
        <v>2611</v>
      </c>
      <c r="I159" s="114" t="n">
        <v>0.3</v>
      </c>
      <c r="J159" s="114" t="n">
        <v>1.3</v>
      </c>
      <c r="K159" s="114" t="n">
        <v>1.1</v>
      </c>
      <c r="L159" s="172"/>
      <c r="M159" s="173"/>
      <c r="N159" s="173"/>
      <c r="O159" s="173"/>
      <c r="P159" s="173"/>
      <c r="Q159" s="116"/>
      <c r="R159" s="0" t="s">
        <v>98</v>
      </c>
      <c r="T159" s="0" t="n">
        <v>1</v>
      </c>
    </row>
    <row r="160" customFormat="false" ht="14.4" hidden="false" customHeight="false" outlineLevel="0" collapsed="false">
      <c r="A160" s="0" t="s">
        <v>2684</v>
      </c>
      <c r="B160" s="0" t="s">
        <v>1892</v>
      </c>
      <c r="C160" s="0" t="s">
        <v>2685</v>
      </c>
      <c r="D160" s="0" t="n">
        <v>137</v>
      </c>
      <c r="E160" s="0" t="n">
        <v>3</v>
      </c>
      <c r="F160" s="114" t="n">
        <v>1</v>
      </c>
      <c r="G160" s="171" t="n">
        <f aca="false">Barrage[[#This Row],[Coefficient]]*Barrage[[#This Row],[Total Rounds]]*Barrage[[#This Row],[Base Damage]]</f>
        <v>411</v>
      </c>
      <c r="H160" s="183" t="s">
        <v>2621</v>
      </c>
      <c r="I160" s="114" t="n">
        <v>0.8</v>
      </c>
      <c r="J160" s="114" t="n">
        <v>1</v>
      </c>
      <c r="K160" s="114" t="n">
        <v>1.3</v>
      </c>
      <c r="L160" s="172"/>
      <c r="M160" s="173"/>
      <c r="N160" s="173"/>
      <c r="O160" s="173"/>
      <c r="P160" s="173"/>
      <c r="Q160" s="116"/>
      <c r="R160" s="0" t="s">
        <v>99</v>
      </c>
      <c r="T160" s="0" t="n">
        <v>1.2</v>
      </c>
      <c r="U160" s="0" t="s">
        <v>2682</v>
      </c>
    </row>
    <row r="161" customFormat="false" ht="14.4" hidden="false" customHeight="false" outlineLevel="0" collapsed="false">
      <c r="A161" s="0" t="s">
        <v>2684</v>
      </c>
      <c r="B161" s="0" t="s">
        <v>1955</v>
      </c>
      <c r="C161" s="0" t="s">
        <v>1954</v>
      </c>
      <c r="D161" s="0" t="n">
        <v>20</v>
      </c>
      <c r="E161" s="0" t="n">
        <v>128</v>
      </c>
      <c r="F161" s="114" t="n">
        <v>1.1</v>
      </c>
      <c r="G161" s="171" t="n">
        <f aca="false">Barrage[[#This Row],[Coefficient]]*Barrage[[#This Row],[Total Rounds]]*Barrage[[#This Row],[Base Damage]]</f>
        <v>2816</v>
      </c>
      <c r="H161" s="175" t="s">
        <v>2686</v>
      </c>
      <c r="I161" s="114" t="n">
        <v>1.25</v>
      </c>
      <c r="J161" s="114" t="n">
        <v>1.1</v>
      </c>
      <c r="K161" s="114" t="n">
        <v>0.95</v>
      </c>
      <c r="L161" s="172" t="n">
        <v>0.5</v>
      </c>
      <c r="M161" s="173" t="n">
        <v>3</v>
      </c>
      <c r="N161" s="173"/>
      <c r="O161" s="173"/>
      <c r="P161" s="173"/>
      <c r="Q161" s="116"/>
      <c r="R161" s="0" t="s">
        <v>98</v>
      </c>
      <c r="T161" s="0" t="n">
        <v>1.5</v>
      </c>
      <c r="U161" s="0" t="s">
        <v>2687</v>
      </c>
    </row>
    <row r="162" customFormat="false" ht="14.4" hidden="false" customHeight="false" outlineLevel="0" collapsed="false">
      <c r="A162" s="0" t="s">
        <v>2684</v>
      </c>
      <c r="B162" s="0" t="s">
        <v>1835</v>
      </c>
      <c r="C162" s="0" t="s">
        <v>1834</v>
      </c>
      <c r="D162" s="0" t="n">
        <v>140</v>
      </c>
      <c r="E162" s="0" t="n">
        <v>8</v>
      </c>
      <c r="F162" s="114" t="n">
        <v>1</v>
      </c>
      <c r="G162" s="171" t="n">
        <f aca="false">Barrage[[#This Row],[Coefficient]]*Barrage[[#This Row],[Total Rounds]]*Barrage[[#This Row],[Base Damage]]</f>
        <v>1120</v>
      </c>
      <c r="H162" s="175" t="s">
        <v>2612</v>
      </c>
      <c r="I162" s="114" t="n">
        <v>1.35</v>
      </c>
      <c r="J162" s="114" t="n">
        <v>0.95</v>
      </c>
      <c r="K162" s="114" t="n">
        <v>0.7</v>
      </c>
      <c r="L162" s="172" t="n">
        <v>0.08</v>
      </c>
      <c r="M162" s="173" t="n">
        <v>3</v>
      </c>
      <c r="N162" s="173"/>
      <c r="O162" s="173"/>
      <c r="P162" s="173"/>
      <c r="Q162" s="116"/>
      <c r="R162" s="0" t="s">
        <v>98</v>
      </c>
      <c r="T162" s="0" t="n">
        <v>1</v>
      </c>
    </row>
    <row r="163" customFormat="false" ht="14.4" hidden="false" customHeight="false" outlineLevel="0" collapsed="false">
      <c r="A163" s="0" t="s">
        <v>2684</v>
      </c>
      <c r="B163" s="0" t="s">
        <v>1836</v>
      </c>
      <c r="C163" s="0" t="s">
        <v>1834</v>
      </c>
      <c r="D163" s="0" t="n">
        <v>30</v>
      </c>
      <c r="E163" s="0" t="n">
        <v>16</v>
      </c>
      <c r="F163" s="114" t="n">
        <v>1</v>
      </c>
      <c r="G163" s="171" t="n">
        <f aca="false">Barrage[[#This Row],[Coefficient]]*Barrage[[#This Row],[Total Rounds]]*Barrage[[#This Row],[Base Damage]]</f>
        <v>480</v>
      </c>
      <c r="H163" s="183" t="s">
        <v>2602</v>
      </c>
      <c r="I163" s="114" t="n">
        <v>1</v>
      </c>
      <c r="J163" s="114" t="n">
        <v>0.8</v>
      </c>
      <c r="K163" s="114" t="n">
        <v>0.7</v>
      </c>
      <c r="L163" s="172"/>
      <c r="M163" s="173"/>
      <c r="N163" s="173"/>
      <c r="O163" s="173"/>
      <c r="P163" s="173"/>
      <c r="Q163" s="116"/>
      <c r="R163" s="0" t="s">
        <v>98</v>
      </c>
      <c r="T163" s="0" t="n">
        <v>1</v>
      </c>
    </row>
    <row r="164" customFormat="false" ht="14.4" hidden="false" customHeight="false" outlineLevel="0" collapsed="false">
      <c r="A164" s="0" t="s">
        <v>2684</v>
      </c>
      <c r="B164" s="0" t="s">
        <v>1795</v>
      </c>
      <c r="C164" s="0" t="s">
        <v>1793</v>
      </c>
      <c r="D164" s="0" t="n">
        <v>226</v>
      </c>
      <c r="E164" s="0" t="n">
        <v>4</v>
      </c>
      <c r="F164" s="114" t="n">
        <v>1</v>
      </c>
      <c r="G164" s="171" t="n">
        <f aca="false">Barrage[[#This Row],[Coefficient]]*Barrage[[#This Row],[Total Rounds]]*Barrage[[#This Row],[Base Damage]]</f>
        <v>904</v>
      </c>
      <c r="H164" s="183" t="s">
        <v>2602</v>
      </c>
      <c r="I164" s="114" t="n">
        <v>0.9</v>
      </c>
      <c r="J164" s="114" t="n">
        <v>1.2</v>
      </c>
      <c r="K164" s="114" t="n">
        <v>0.7</v>
      </c>
      <c r="L164" s="172"/>
      <c r="M164" s="173"/>
      <c r="N164" s="173"/>
      <c r="O164" s="173"/>
      <c r="P164" s="173"/>
      <c r="Q164" s="116"/>
      <c r="R164" s="0" t="s">
        <v>98</v>
      </c>
      <c r="T164" s="0" t="n">
        <v>1</v>
      </c>
    </row>
    <row r="165" customFormat="false" ht="14.4" hidden="false" customHeight="false" outlineLevel="0" collapsed="false">
      <c r="A165" s="0" t="s">
        <v>2684</v>
      </c>
      <c r="B165" s="0" t="s">
        <v>1796</v>
      </c>
      <c r="C165" s="0" t="s">
        <v>1793</v>
      </c>
      <c r="D165" s="0" t="n">
        <v>156</v>
      </c>
      <c r="E165" s="0" t="n">
        <v>6</v>
      </c>
      <c r="F165" s="114" t="n">
        <v>1</v>
      </c>
      <c r="G165" s="171" t="n">
        <f aca="false">Barrage[[#This Row],[Coefficient]]*Barrage[[#This Row],[Total Rounds]]*Barrage[[#This Row],[Base Damage]]</f>
        <v>936</v>
      </c>
      <c r="H165" s="183" t="s">
        <v>2602</v>
      </c>
      <c r="I165" s="114" t="n">
        <v>0.9</v>
      </c>
      <c r="J165" s="114" t="n">
        <v>1.2</v>
      </c>
      <c r="K165" s="114" t="n">
        <v>0.7</v>
      </c>
      <c r="L165" s="172"/>
      <c r="M165" s="173"/>
      <c r="N165" s="173"/>
      <c r="O165" s="173"/>
      <c r="P165" s="173"/>
      <c r="Q165" s="116"/>
      <c r="R165" s="0" t="s">
        <v>98</v>
      </c>
      <c r="T165" s="0" t="n">
        <v>1</v>
      </c>
    </row>
    <row r="166" customFormat="false" ht="14.4" hidden="false" customHeight="false" outlineLevel="0" collapsed="false">
      <c r="A166" s="0" t="s">
        <v>2684</v>
      </c>
      <c r="B166" s="0" t="s">
        <v>1797</v>
      </c>
      <c r="C166" s="0" t="s">
        <v>1793</v>
      </c>
      <c r="D166" s="0" t="n">
        <v>25</v>
      </c>
      <c r="E166" s="0" t="n">
        <v>16</v>
      </c>
      <c r="F166" s="114" t="n">
        <v>1</v>
      </c>
      <c r="G166" s="171" t="n">
        <f aca="false">Barrage[[#This Row],[Coefficient]]*Barrage[[#This Row],[Total Rounds]]*Barrage[[#This Row],[Base Damage]]</f>
        <v>400</v>
      </c>
      <c r="H166" s="174" t="s">
        <v>2611</v>
      </c>
      <c r="I166" s="114" t="n">
        <v>0.9</v>
      </c>
      <c r="J166" s="114" t="n">
        <v>0.7</v>
      </c>
      <c r="K166" s="114" t="n">
        <v>0.4</v>
      </c>
      <c r="L166" s="172"/>
      <c r="M166" s="173"/>
      <c r="N166" s="173"/>
      <c r="O166" s="173"/>
      <c r="P166" s="173"/>
      <c r="Q166" s="116"/>
      <c r="R166" s="0" t="s">
        <v>98</v>
      </c>
      <c r="T166" s="0" t="n">
        <v>1</v>
      </c>
    </row>
    <row r="167" customFormat="false" ht="14.4" hidden="false" customHeight="false" outlineLevel="0" collapsed="false">
      <c r="A167" s="0" t="s">
        <v>2684</v>
      </c>
      <c r="B167" s="0" t="s">
        <v>1798</v>
      </c>
      <c r="C167" s="0" t="s">
        <v>1793</v>
      </c>
      <c r="D167" s="0" t="n">
        <v>124</v>
      </c>
      <c r="E167" s="0" t="n">
        <v>4</v>
      </c>
      <c r="F167" s="114" t="n">
        <v>1.1</v>
      </c>
      <c r="G167" s="171" t="n">
        <f aca="false">Barrage[[#This Row],[Coefficient]]*Barrage[[#This Row],[Total Rounds]]*Barrage[[#This Row],[Base Damage]]</f>
        <v>545.6</v>
      </c>
      <c r="H167" s="183" t="s">
        <v>2621</v>
      </c>
      <c r="I167" s="114" t="n">
        <v>0.8</v>
      </c>
      <c r="J167" s="114" t="n">
        <v>1</v>
      </c>
      <c r="K167" s="114" t="n">
        <v>1.3</v>
      </c>
      <c r="L167" s="172"/>
      <c r="M167" s="173"/>
      <c r="N167" s="173"/>
      <c r="O167" s="173"/>
      <c r="P167" s="173"/>
      <c r="Q167" s="116"/>
      <c r="R167" s="0" t="s">
        <v>99</v>
      </c>
      <c r="T167" s="0" t="n">
        <v>1</v>
      </c>
    </row>
    <row r="168" customFormat="false" ht="14.4" hidden="false" customHeight="false" outlineLevel="0" collapsed="false">
      <c r="A168" s="0" t="s">
        <v>114</v>
      </c>
      <c r="B168" s="0" t="s">
        <v>1931</v>
      </c>
      <c r="C168" s="0" t="s">
        <v>2688</v>
      </c>
      <c r="D168" s="0" t="n">
        <v>195</v>
      </c>
      <c r="E168" s="0" t="n">
        <v>10</v>
      </c>
      <c r="F168" s="114" t="n">
        <v>1.1</v>
      </c>
      <c r="G168" s="171" t="n">
        <f aca="false">Barrage[[#This Row],[Coefficient]]*Barrage[[#This Row],[Total Rounds]]*Barrage[[#This Row],[Base Damage]]</f>
        <v>2145</v>
      </c>
      <c r="H168" s="183" t="s">
        <v>2602</v>
      </c>
      <c r="I168" s="114" t="n">
        <v>0.7</v>
      </c>
      <c r="J168" s="114" t="n">
        <v>1</v>
      </c>
      <c r="K168" s="114" t="n">
        <v>0.9</v>
      </c>
      <c r="L168" s="172"/>
      <c r="M168" s="173"/>
      <c r="N168" s="173"/>
      <c r="O168" s="173"/>
      <c r="P168" s="173"/>
      <c r="Q168" s="116"/>
      <c r="R168" s="0" t="s">
        <v>98</v>
      </c>
      <c r="T168" s="0" t="n">
        <v>1</v>
      </c>
    </row>
    <row r="169" customFormat="false" ht="14.4" hidden="false" customHeight="false" outlineLevel="0" collapsed="false">
      <c r="A169" s="0" t="s">
        <v>114</v>
      </c>
      <c r="B169" s="0" t="s">
        <v>1932</v>
      </c>
      <c r="C169" s="0" t="s">
        <v>2688</v>
      </c>
      <c r="D169" s="0" t="n">
        <v>35</v>
      </c>
      <c r="E169" s="0" t="n">
        <v>20</v>
      </c>
      <c r="F169" s="114" t="n">
        <v>1</v>
      </c>
      <c r="G169" s="171" t="n">
        <f aca="false">Barrage[[#This Row],[Coefficient]]*Barrage[[#This Row],[Total Rounds]]*Barrage[[#This Row],[Base Damage]]</f>
        <v>700</v>
      </c>
      <c r="H169" s="175" t="s">
        <v>2612</v>
      </c>
      <c r="I169" s="114" t="n">
        <v>1.2</v>
      </c>
      <c r="J169" s="114" t="n">
        <v>0.6</v>
      </c>
      <c r="K169" s="114" t="n">
        <v>0.6</v>
      </c>
      <c r="L169" s="172" t="n">
        <v>0.01</v>
      </c>
      <c r="M169" s="173" t="n">
        <v>1</v>
      </c>
      <c r="N169" s="173"/>
      <c r="O169" s="173"/>
      <c r="P169" s="173"/>
      <c r="Q169" s="116"/>
      <c r="R169" s="0" t="s">
        <v>98</v>
      </c>
      <c r="T169" s="0" t="n">
        <v>1</v>
      </c>
    </row>
    <row r="170" customFormat="false" ht="14.4" hidden="false" customHeight="false" outlineLevel="0" collapsed="false">
      <c r="A170" s="0" t="s">
        <v>114</v>
      </c>
      <c r="B170" s="0" t="s">
        <v>1933</v>
      </c>
      <c r="C170" s="0" t="s">
        <v>2688</v>
      </c>
      <c r="D170" s="0" t="n">
        <v>96</v>
      </c>
      <c r="E170" s="0" t="n">
        <v>8</v>
      </c>
      <c r="F170" s="114" t="n">
        <v>1.1</v>
      </c>
      <c r="G170" s="171" t="n">
        <f aca="false">Barrage[[#This Row],[Coefficient]]*Barrage[[#This Row],[Total Rounds]]*Barrage[[#This Row],[Base Damage]]</f>
        <v>844.8</v>
      </c>
      <c r="H170" s="183" t="s">
        <v>2621</v>
      </c>
      <c r="I170" s="114" t="n">
        <v>0.8</v>
      </c>
      <c r="J170" s="114" t="n">
        <v>1</v>
      </c>
      <c r="K170" s="114" t="n">
        <v>1.3</v>
      </c>
      <c r="L170" s="172"/>
      <c r="M170" s="173"/>
      <c r="N170" s="173"/>
      <c r="O170" s="173"/>
      <c r="P170" s="173"/>
      <c r="Q170" s="116"/>
      <c r="R170" s="0" t="s">
        <v>99</v>
      </c>
      <c r="T170" s="0" t="n">
        <v>1</v>
      </c>
    </row>
    <row r="171" customFormat="false" ht="14.4" hidden="false" customHeight="false" outlineLevel="0" collapsed="false">
      <c r="A171" s="0" t="s">
        <v>114</v>
      </c>
      <c r="B171" s="0" t="s">
        <v>1824</v>
      </c>
      <c r="C171" s="162" t="s">
        <v>2689</v>
      </c>
      <c r="D171" s="0" t="n">
        <v>156</v>
      </c>
      <c r="E171" s="0" t="n">
        <v>44</v>
      </c>
      <c r="F171" s="114" t="n">
        <v>1</v>
      </c>
      <c r="G171" s="171" t="n">
        <f aca="false">Barrage[[#This Row],[Coefficient]]*Barrage[[#This Row],[Total Rounds]]*Barrage[[#This Row],[Base Damage]]</f>
        <v>6864</v>
      </c>
      <c r="H171" s="183" t="s">
        <v>2602</v>
      </c>
      <c r="I171" s="114" t="n">
        <v>1</v>
      </c>
      <c r="J171" s="114" t="n">
        <v>0.8</v>
      </c>
      <c r="K171" s="114" t="n">
        <v>0.7</v>
      </c>
      <c r="L171" s="172"/>
      <c r="M171" s="173"/>
      <c r="N171" s="173"/>
      <c r="O171" s="173"/>
      <c r="P171" s="173"/>
      <c r="Q171" s="116"/>
      <c r="R171" s="0" t="s">
        <v>98</v>
      </c>
      <c r="T171" s="0" t="n">
        <v>1</v>
      </c>
    </row>
    <row r="172" customFormat="false" ht="14.4" hidden="false" customHeight="false" outlineLevel="0" collapsed="false">
      <c r="A172" s="0" t="s">
        <v>114</v>
      </c>
      <c r="B172" s="0" t="s">
        <v>2019</v>
      </c>
      <c r="C172" s="0" t="s">
        <v>2018</v>
      </c>
      <c r="D172" s="0" t="n">
        <v>120</v>
      </c>
      <c r="E172" s="0" t="n">
        <v>12</v>
      </c>
      <c r="F172" s="114" t="n">
        <v>1</v>
      </c>
      <c r="G172" s="171" t="n">
        <f aca="false">Barrage[[#This Row],[Coefficient]]*Barrage[[#This Row],[Total Rounds]]*Barrage[[#This Row],[Base Damage]]</f>
        <v>1440</v>
      </c>
      <c r="H172" s="183" t="s">
        <v>2602</v>
      </c>
      <c r="I172" s="114" t="n">
        <v>0.7</v>
      </c>
      <c r="J172" s="114" t="n">
        <v>1</v>
      </c>
      <c r="K172" s="114" t="n">
        <v>0.9</v>
      </c>
      <c r="L172" s="172"/>
      <c r="M172" s="173"/>
      <c r="N172" s="173"/>
      <c r="O172" s="173"/>
      <c r="P172" s="173"/>
      <c r="Q172" s="116"/>
      <c r="R172" s="0" t="s">
        <v>98</v>
      </c>
      <c r="T172" s="0" t="n">
        <v>1</v>
      </c>
    </row>
    <row r="173" customFormat="false" ht="14.4" hidden="false" customHeight="false" outlineLevel="0" collapsed="false">
      <c r="A173" s="0" t="s">
        <v>114</v>
      </c>
      <c r="B173" s="0" t="s">
        <v>2070</v>
      </c>
      <c r="C173" s="182" t="s">
        <v>2069</v>
      </c>
      <c r="D173" s="0" t="n">
        <v>137</v>
      </c>
      <c r="E173" s="0" t="n">
        <v>4</v>
      </c>
      <c r="F173" s="114" t="n">
        <v>1</v>
      </c>
      <c r="G173" s="171" t="n">
        <f aca="false">Barrage[[#This Row],[Coefficient]]*Barrage[[#This Row],[Total Rounds]]*Barrage[[#This Row],[Base Damage]]</f>
        <v>548</v>
      </c>
      <c r="H173" s="183" t="s">
        <v>2621</v>
      </c>
      <c r="I173" s="114" t="n">
        <v>0.8</v>
      </c>
      <c r="J173" s="114" t="n">
        <v>1</v>
      </c>
      <c r="K173" s="114" t="n">
        <v>1.3</v>
      </c>
      <c r="L173" s="172"/>
      <c r="M173" s="173"/>
      <c r="N173" s="173"/>
      <c r="O173" s="173"/>
      <c r="P173" s="173"/>
      <c r="Q173" s="116"/>
      <c r="R173" s="0" t="s">
        <v>99</v>
      </c>
      <c r="T173" s="0" t="n">
        <v>1.5</v>
      </c>
      <c r="U173" s="0" t="s">
        <v>2690</v>
      </c>
    </row>
    <row r="174" customFormat="false" ht="14.4" hidden="false" customHeight="false" outlineLevel="0" collapsed="false">
      <c r="A174" s="0" t="s">
        <v>114</v>
      </c>
      <c r="B174" s="0" t="s">
        <v>2087</v>
      </c>
      <c r="C174" s="182" t="s">
        <v>2086</v>
      </c>
      <c r="D174" s="0" t="n">
        <v>154</v>
      </c>
      <c r="E174" s="0" t="n">
        <v>2</v>
      </c>
      <c r="F174" s="114" t="n">
        <v>1.1</v>
      </c>
      <c r="G174" s="171" t="n">
        <f aca="false">Barrage[[#This Row],[Coefficient]]*Barrage[[#This Row],[Total Rounds]]*Barrage[[#This Row],[Base Damage]]</f>
        <v>338.8</v>
      </c>
      <c r="H174" s="174" t="s">
        <v>2611</v>
      </c>
      <c r="I174" s="114" t="n">
        <v>0.3</v>
      </c>
      <c r="J174" s="114" t="n">
        <v>1.3</v>
      </c>
      <c r="K174" s="114" t="n">
        <v>1.1</v>
      </c>
      <c r="L174" s="172"/>
      <c r="M174" s="173"/>
      <c r="N174" s="173"/>
      <c r="O174" s="173"/>
      <c r="P174" s="173"/>
      <c r="Q174" s="116"/>
      <c r="R174" s="0" t="s">
        <v>98</v>
      </c>
      <c r="S174" s="0" t="n">
        <v>1.5</v>
      </c>
      <c r="T174" s="0" t="n">
        <v>0.8</v>
      </c>
      <c r="U174" s="0" t="s">
        <v>2691</v>
      </c>
    </row>
    <row r="175" customFormat="false" ht="14.4" hidden="false" customHeight="false" outlineLevel="0" collapsed="false">
      <c r="A175" s="0" t="s">
        <v>114</v>
      </c>
      <c r="B175" s="0" t="s">
        <v>2090</v>
      </c>
      <c r="C175" s="182" t="s">
        <v>2089</v>
      </c>
      <c r="D175" s="0" t="n">
        <v>184</v>
      </c>
      <c r="E175" s="0" t="n">
        <v>2</v>
      </c>
      <c r="F175" s="114" t="n">
        <v>1.1</v>
      </c>
      <c r="G175" s="171" t="n">
        <f aca="false">Barrage[[#This Row],[Coefficient]]*Barrage[[#This Row],[Total Rounds]]*Barrage[[#This Row],[Base Damage]]</f>
        <v>404.8</v>
      </c>
      <c r="H175" s="174" t="s">
        <v>2611</v>
      </c>
      <c r="I175" s="114" t="n">
        <v>0.3</v>
      </c>
      <c r="J175" s="114" t="n">
        <v>1.3</v>
      </c>
      <c r="K175" s="114" t="n">
        <v>1.1</v>
      </c>
      <c r="L175" s="172"/>
      <c r="M175" s="173"/>
      <c r="N175" s="173"/>
      <c r="O175" s="173"/>
      <c r="P175" s="173"/>
      <c r="Q175" s="116"/>
      <c r="R175" s="0" t="s">
        <v>98</v>
      </c>
      <c r="S175" s="0" t="n">
        <v>1.5</v>
      </c>
      <c r="T175" s="0" t="n">
        <v>0.8</v>
      </c>
      <c r="U175" s="0" t="s">
        <v>2692</v>
      </c>
    </row>
    <row r="176" customFormat="false" ht="14.4" hidden="false" customHeight="false" outlineLevel="0" collapsed="false">
      <c r="A176" s="0" t="s">
        <v>114</v>
      </c>
      <c r="B176" s="0" t="s">
        <v>1830</v>
      </c>
      <c r="C176" s="0" t="s">
        <v>115</v>
      </c>
      <c r="D176" s="0" t="n">
        <v>108</v>
      </c>
      <c r="E176" s="0" t="n">
        <v>4</v>
      </c>
      <c r="F176" s="114" t="n">
        <v>1.1</v>
      </c>
      <c r="G176" s="171" t="n">
        <f aca="false">Barrage[[#This Row],[Coefficient]]*Barrage[[#This Row],[Total Rounds]]*Barrage[[#This Row],[Base Damage]]</f>
        <v>475.2</v>
      </c>
      <c r="H176" s="183" t="s">
        <v>2602</v>
      </c>
      <c r="I176" s="114" t="n">
        <v>0.7</v>
      </c>
      <c r="J176" s="114" t="n">
        <v>1</v>
      </c>
      <c r="K176" s="114" t="n">
        <v>0.9</v>
      </c>
      <c r="L176" s="172"/>
      <c r="M176" s="173"/>
      <c r="N176" s="173"/>
      <c r="O176" s="173"/>
      <c r="P176" s="173"/>
      <c r="Q176" s="116"/>
      <c r="R176" s="0" t="s">
        <v>98</v>
      </c>
      <c r="T176" s="0" t="n">
        <v>1</v>
      </c>
    </row>
    <row r="177" customFormat="false" ht="14.4" hidden="false" customHeight="false" outlineLevel="0" collapsed="false">
      <c r="A177" s="0" t="s">
        <v>114</v>
      </c>
      <c r="B177" s="0" t="s">
        <v>2096</v>
      </c>
      <c r="C177" s="0" t="s">
        <v>2095</v>
      </c>
      <c r="D177" s="0" t="n">
        <v>174</v>
      </c>
      <c r="E177" s="0" t="n">
        <v>9</v>
      </c>
      <c r="F177" s="114" t="n">
        <v>1</v>
      </c>
      <c r="G177" s="171" t="n">
        <f aca="false">Barrage[[#This Row],[Coefficient]]*Barrage[[#This Row],[Total Rounds]]*Barrage[[#This Row],[Base Damage]]</f>
        <v>1566</v>
      </c>
      <c r="H177" s="183" t="s">
        <v>2602</v>
      </c>
      <c r="I177" s="114" t="n">
        <v>0.7</v>
      </c>
      <c r="J177" s="114" t="n">
        <v>1</v>
      </c>
      <c r="K177" s="114" t="n">
        <v>0.9</v>
      </c>
      <c r="L177" s="172"/>
      <c r="M177" s="173"/>
      <c r="N177" s="173"/>
      <c r="O177" s="173"/>
      <c r="P177" s="173"/>
      <c r="Q177" s="116"/>
      <c r="R177" s="0" t="s">
        <v>98</v>
      </c>
      <c r="T177" s="0" t="n">
        <v>1</v>
      </c>
    </row>
    <row r="178" customFormat="false" ht="14.4" hidden="false" customHeight="false" outlineLevel="0" collapsed="false">
      <c r="A178" s="0" t="s">
        <v>114</v>
      </c>
      <c r="B178" s="0" t="s">
        <v>2097</v>
      </c>
      <c r="C178" s="0" t="s">
        <v>2095</v>
      </c>
      <c r="D178" s="0" t="n">
        <v>20</v>
      </c>
      <c r="E178" s="0" t="n">
        <v>30</v>
      </c>
      <c r="F178" s="114" t="n">
        <v>1</v>
      </c>
      <c r="G178" s="171" t="n">
        <f aca="false">Barrage[[#This Row],[Coefficient]]*Barrage[[#This Row],[Total Rounds]]*Barrage[[#This Row],[Base Damage]]</f>
        <v>600</v>
      </c>
      <c r="H178" s="175" t="s">
        <v>2612</v>
      </c>
      <c r="I178" s="114" t="n">
        <v>1.2</v>
      </c>
      <c r="J178" s="114" t="n">
        <v>0.6</v>
      </c>
      <c r="K178" s="114" t="n">
        <v>0.6</v>
      </c>
      <c r="L178" s="172" t="n">
        <v>0.01</v>
      </c>
      <c r="M178" s="173" t="n">
        <v>1</v>
      </c>
      <c r="N178" s="173"/>
      <c r="O178" s="173"/>
      <c r="P178" s="173"/>
      <c r="Q178" s="116"/>
      <c r="R178" s="0" t="s">
        <v>98</v>
      </c>
      <c r="T178" s="0" t="n">
        <v>1</v>
      </c>
    </row>
    <row r="179" customFormat="false" ht="14.4" hidden="false" customHeight="false" outlineLevel="0" collapsed="false">
      <c r="A179" s="0" t="s">
        <v>114</v>
      </c>
      <c r="B179" s="0" t="s">
        <v>2693</v>
      </c>
      <c r="C179" s="0" t="s">
        <v>1918</v>
      </c>
      <c r="D179" s="0" t="n">
        <v>104</v>
      </c>
      <c r="E179" s="0" t="n">
        <v>36</v>
      </c>
      <c r="F179" s="114" t="n">
        <v>1</v>
      </c>
      <c r="G179" s="171" t="n">
        <f aca="false">Barrage[[#This Row],[Coefficient]]*Barrage[[#This Row],[Total Rounds]]*Barrage[[#This Row],[Base Damage]]</f>
        <v>3744</v>
      </c>
      <c r="H179" s="174" t="s">
        <v>2611</v>
      </c>
      <c r="I179" s="114" t="n">
        <v>0.5</v>
      </c>
      <c r="J179" s="114" t="n">
        <v>1.35</v>
      </c>
      <c r="K179" s="114" t="n">
        <v>1.2</v>
      </c>
      <c r="L179" s="172"/>
      <c r="M179" s="173"/>
      <c r="N179" s="173"/>
      <c r="O179" s="173"/>
      <c r="P179" s="173"/>
      <c r="Q179" s="116" t="n">
        <v>1</v>
      </c>
      <c r="R179" s="0" t="s">
        <v>98</v>
      </c>
      <c r="T179" s="0" t="n">
        <v>1.2</v>
      </c>
      <c r="U179" s="0" t="s">
        <v>2694</v>
      </c>
    </row>
    <row r="180" customFormat="false" ht="14.4" hidden="false" customHeight="false" outlineLevel="0" collapsed="false">
      <c r="A180" s="0" t="s">
        <v>114</v>
      </c>
      <c r="B180" s="0" t="s">
        <v>1920</v>
      </c>
      <c r="C180" s="0" t="s">
        <v>1918</v>
      </c>
      <c r="D180" s="0" t="n">
        <v>104</v>
      </c>
      <c r="E180" s="0" t="n">
        <v>18</v>
      </c>
      <c r="F180" s="114" t="n">
        <v>1</v>
      </c>
      <c r="G180" s="171" t="n">
        <f aca="false">Barrage[[#This Row],[Coefficient]]*Barrage[[#This Row],[Total Rounds]]*Barrage[[#This Row],[Base Damage]]</f>
        <v>1872</v>
      </c>
      <c r="H180" s="174" t="s">
        <v>2611</v>
      </c>
      <c r="I180" s="114" t="n">
        <v>0.5</v>
      </c>
      <c r="J180" s="114" t="n">
        <v>1.35</v>
      </c>
      <c r="K180" s="114" t="n">
        <v>1.2</v>
      </c>
      <c r="L180" s="172"/>
      <c r="M180" s="173"/>
      <c r="N180" s="173"/>
      <c r="O180" s="173"/>
      <c r="P180" s="173"/>
      <c r="Q180" s="116" t="n">
        <v>1</v>
      </c>
      <c r="R180" s="0" t="s">
        <v>98</v>
      </c>
      <c r="T180" s="0" t="n">
        <v>1.2</v>
      </c>
      <c r="U180" s="0" t="s">
        <v>2694</v>
      </c>
    </row>
    <row r="181" customFormat="false" ht="14.4" hidden="false" customHeight="false" outlineLevel="0" collapsed="false">
      <c r="A181" s="0" t="s">
        <v>114</v>
      </c>
      <c r="B181" s="0" t="s">
        <v>1919</v>
      </c>
      <c r="C181" s="0" t="s">
        <v>1918</v>
      </c>
      <c r="D181" s="0" t="n">
        <v>104</v>
      </c>
      <c r="E181" s="0" t="n">
        <v>18</v>
      </c>
      <c r="F181" s="114" t="n">
        <v>1</v>
      </c>
      <c r="G181" s="171" t="n">
        <f aca="false">Barrage[[#This Row],[Coefficient]]*Barrage[[#This Row],[Total Rounds]]*Barrage[[#This Row],[Base Damage]]</f>
        <v>1872</v>
      </c>
      <c r="H181" s="183" t="s">
        <v>2602</v>
      </c>
      <c r="I181" s="114" t="n">
        <v>0.5</v>
      </c>
      <c r="J181" s="114" t="n">
        <v>1.35</v>
      </c>
      <c r="K181" s="114" t="n">
        <v>1.2</v>
      </c>
      <c r="L181" s="172"/>
      <c r="M181" s="173"/>
      <c r="N181" s="173"/>
      <c r="O181" s="173"/>
      <c r="P181" s="173"/>
      <c r="Q181" s="116" t="n">
        <v>0</v>
      </c>
      <c r="R181" s="0" t="s">
        <v>98</v>
      </c>
      <c r="T181" s="0" t="n">
        <v>1.2</v>
      </c>
      <c r="U181" s="0" t="s">
        <v>2695</v>
      </c>
    </row>
    <row r="182" customFormat="false" ht="14.4" hidden="false" customHeight="false" outlineLevel="0" collapsed="false">
      <c r="A182" s="0" t="s">
        <v>114</v>
      </c>
      <c r="B182" s="0" t="s">
        <v>1989</v>
      </c>
      <c r="C182" s="0" t="s">
        <v>393</v>
      </c>
      <c r="D182" s="0" t="n">
        <v>158</v>
      </c>
      <c r="E182" s="0" t="n">
        <v>13</v>
      </c>
      <c r="F182" s="114" t="n">
        <v>1</v>
      </c>
      <c r="G182" s="171" t="n">
        <f aca="false">Barrage[[#This Row],[Coefficient]]*Barrage[[#This Row],[Total Rounds]]*Barrage[[#This Row],[Base Damage]]</f>
        <v>2054</v>
      </c>
      <c r="H182" s="174" t="s">
        <v>2611</v>
      </c>
      <c r="I182" s="114" t="n">
        <v>0.4</v>
      </c>
      <c r="J182" s="114" t="n">
        <v>1.25</v>
      </c>
      <c r="K182" s="114" t="n">
        <v>1.2</v>
      </c>
      <c r="L182" s="172"/>
      <c r="M182" s="173"/>
      <c r="N182" s="173"/>
      <c r="O182" s="173"/>
      <c r="P182" s="173"/>
      <c r="Q182" s="116"/>
      <c r="R182" s="0" t="s">
        <v>98</v>
      </c>
      <c r="T182" s="0" t="n">
        <v>1.2</v>
      </c>
      <c r="U182" s="0" t="s">
        <v>2694</v>
      </c>
    </row>
    <row r="183" customFormat="false" ht="14.4" hidden="false" customHeight="false" outlineLevel="0" collapsed="false">
      <c r="A183" s="0" t="s">
        <v>114</v>
      </c>
      <c r="B183" s="0" t="s">
        <v>1994</v>
      </c>
      <c r="C183" s="0" t="s">
        <v>2696</v>
      </c>
      <c r="D183" s="0" t="n">
        <v>125</v>
      </c>
      <c r="E183" s="0" t="n">
        <v>44</v>
      </c>
      <c r="F183" s="114" t="n">
        <v>1</v>
      </c>
      <c r="G183" s="171" t="n">
        <f aca="false">Barrage[[#This Row],[Coefficient]]*Barrage[[#This Row],[Total Rounds]]*Barrage[[#This Row],[Base Damage]]</f>
        <v>5500</v>
      </c>
      <c r="H183" s="175" t="s">
        <v>2612</v>
      </c>
      <c r="I183" s="114" t="n">
        <v>1.2</v>
      </c>
      <c r="J183" s="114" t="n">
        <v>1</v>
      </c>
      <c r="K183" s="114" t="n">
        <v>0.8</v>
      </c>
      <c r="L183" s="172" t="n">
        <v>0.3</v>
      </c>
      <c r="M183" s="173" t="n">
        <v>1</v>
      </c>
      <c r="N183" s="173"/>
      <c r="O183" s="173"/>
      <c r="P183" s="173"/>
      <c r="Q183" s="116"/>
      <c r="R183" s="0" t="s">
        <v>98</v>
      </c>
      <c r="T183" s="0" t="n">
        <v>1</v>
      </c>
    </row>
    <row r="184" customFormat="false" ht="14.4" hidden="false" customHeight="false" outlineLevel="0" collapsed="false">
      <c r="A184" s="0" t="s">
        <v>114</v>
      </c>
      <c r="B184" s="0" t="s">
        <v>1995</v>
      </c>
      <c r="C184" s="0" t="s">
        <v>2696</v>
      </c>
      <c r="D184" s="0" t="n">
        <v>125</v>
      </c>
      <c r="E184" s="0" t="n">
        <v>16</v>
      </c>
      <c r="F184" s="114" t="n">
        <v>1</v>
      </c>
      <c r="G184" s="171" t="n">
        <f aca="false">Barrage[[#This Row],[Coefficient]]*Barrage[[#This Row],[Total Rounds]]*Barrage[[#This Row],[Base Damage]]</f>
        <v>2000</v>
      </c>
      <c r="H184" s="175" t="s">
        <v>2612</v>
      </c>
      <c r="I184" s="114" t="n">
        <v>0.9</v>
      </c>
      <c r="J184" s="114" t="n">
        <v>1.2</v>
      </c>
      <c r="K184" s="114" t="n">
        <v>0.7</v>
      </c>
      <c r="L184" s="172" t="n">
        <v>0.3</v>
      </c>
      <c r="M184" s="173" t="n">
        <v>1</v>
      </c>
      <c r="N184" s="173"/>
      <c r="O184" s="173"/>
      <c r="P184" s="173"/>
      <c r="Q184" s="116"/>
      <c r="R184" s="0" t="s">
        <v>98</v>
      </c>
      <c r="T184" s="0" t="n">
        <v>1</v>
      </c>
    </row>
    <row r="185" customFormat="false" ht="14.4" hidden="false" customHeight="false" outlineLevel="0" collapsed="false">
      <c r="A185" s="0" t="s">
        <v>114</v>
      </c>
      <c r="B185" s="0" t="s">
        <v>1880</v>
      </c>
      <c r="C185" s="0" t="s">
        <v>1879</v>
      </c>
      <c r="D185" s="0" t="n">
        <v>239</v>
      </c>
      <c r="E185" s="0" t="n">
        <v>4</v>
      </c>
      <c r="F185" s="114" t="n">
        <v>1.1</v>
      </c>
      <c r="G185" s="171" t="n">
        <f aca="false">Barrage[[#This Row],[Coefficient]]*Barrage[[#This Row],[Total Rounds]]*Barrage[[#This Row],[Base Damage]]</f>
        <v>1051.6</v>
      </c>
      <c r="H185" s="174" t="s">
        <v>2611</v>
      </c>
      <c r="I185" s="114" t="n">
        <v>0.65</v>
      </c>
      <c r="J185" s="114" t="n">
        <v>1.35</v>
      </c>
      <c r="K185" s="114" t="n">
        <v>1.15</v>
      </c>
      <c r="L185" s="172"/>
      <c r="M185" s="173"/>
      <c r="N185" s="173"/>
      <c r="O185" s="173"/>
      <c r="P185" s="173"/>
      <c r="Q185" s="116"/>
      <c r="R185" s="0" t="s">
        <v>98</v>
      </c>
      <c r="S185" s="0" t="n">
        <v>1.5</v>
      </c>
      <c r="T185" s="0" t="n">
        <v>1</v>
      </c>
      <c r="U185" s="0" t="s">
        <v>2697</v>
      </c>
    </row>
    <row r="186" customFormat="false" ht="14.4" hidden="false" customHeight="false" outlineLevel="0" collapsed="false">
      <c r="A186" s="0" t="s">
        <v>114</v>
      </c>
      <c r="B186" s="0" t="s">
        <v>1881</v>
      </c>
      <c r="C186" s="0" t="s">
        <v>1879</v>
      </c>
      <c r="D186" s="0" t="n">
        <v>35</v>
      </c>
      <c r="E186" s="0" t="n">
        <v>36</v>
      </c>
      <c r="F186" s="114" t="n">
        <v>1</v>
      </c>
      <c r="G186" s="171" t="n">
        <f aca="false">Barrage[[#This Row],[Coefficient]]*Barrage[[#This Row],[Total Rounds]]*Barrage[[#This Row],[Base Damage]]</f>
        <v>1260</v>
      </c>
      <c r="H186" s="175" t="s">
        <v>2612</v>
      </c>
      <c r="I186" s="114" t="n">
        <v>1.2</v>
      </c>
      <c r="J186" s="114" t="n">
        <v>0.8</v>
      </c>
      <c r="K186" s="114" t="n">
        <v>0.6</v>
      </c>
      <c r="L186" s="172" t="n">
        <v>0.01</v>
      </c>
      <c r="M186" s="173" t="n">
        <v>1</v>
      </c>
      <c r="N186" s="173"/>
      <c r="O186" s="173"/>
      <c r="P186" s="173"/>
      <c r="Q186" s="116"/>
      <c r="R186" s="0" t="s">
        <v>98</v>
      </c>
      <c r="S186" s="0" t="n">
        <v>1.5</v>
      </c>
      <c r="T186" s="0" t="n">
        <v>1</v>
      </c>
      <c r="U186" s="0" t="s">
        <v>2697</v>
      </c>
    </row>
    <row r="187" customFormat="false" ht="14.4" hidden="false" customHeight="false" outlineLevel="0" collapsed="false">
      <c r="A187" s="0" t="s">
        <v>114</v>
      </c>
      <c r="B187" s="0" t="s">
        <v>1864</v>
      </c>
      <c r="C187" s="0" t="s">
        <v>1863</v>
      </c>
      <c r="D187" s="0" t="n">
        <v>58</v>
      </c>
      <c r="E187" s="0" t="n">
        <v>12</v>
      </c>
      <c r="F187" s="114" t="n">
        <v>1</v>
      </c>
      <c r="G187" s="171" t="n">
        <f aca="false">Barrage[[#This Row],[Coefficient]]*Barrage[[#This Row],[Total Rounds]]*Barrage[[#This Row],[Base Damage]]</f>
        <v>696</v>
      </c>
      <c r="H187" s="183" t="s">
        <v>2602</v>
      </c>
      <c r="I187" s="114" t="n">
        <v>1.2</v>
      </c>
      <c r="J187" s="114" t="n">
        <v>0.8</v>
      </c>
      <c r="K187" s="114" t="n">
        <v>0.8</v>
      </c>
      <c r="L187" s="172"/>
      <c r="M187" s="173"/>
      <c r="N187" s="173"/>
      <c r="O187" s="173"/>
      <c r="P187" s="173"/>
      <c r="Q187" s="116"/>
      <c r="R187" s="0" t="s">
        <v>98</v>
      </c>
      <c r="T187" s="0" t="n">
        <v>1</v>
      </c>
    </row>
    <row r="188" customFormat="false" ht="14.4" hidden="false" customHeight="false" outlineLevel="0" collapsed="false">
      <c r="A188" s="0" t="s">
        <v>114</v>
      </c>
      <c r="B188" s="0" t="s">
        <v>1865</v>
      </c>
      <c r="C188" s="0" t="s">
        <v>1863</v>
      </c>
      <c r="D188" s="0" t="n">
        <v>58</v>
      </c>
      <c r="E188" s="0" t="n">
        <v>12</v>
      </c>
      <c r="F188" s="114" t="n">
        <v>1</v>
      </c>
      <c r="G188" s="171" t="n">
        <f aca="false">Barrage[[#This Row],[Coefficient]]*Barrage[[#This Row],[Total Rounds]]*Barrage[[#This Row],[Base Damage]]</f>
        <v>696</v>
      </c>
      <c r="H188" s="183" t="s">
        <v>2602</v>
      </c>
      <c r="I188" s="114" t="n">
        <v>0.8</v>
      </c>
      <c r="J188" s="114" t="n">
        <v>1.2</v>
      </c>
      <c r="K188" s="114" t="n">
        <v>0.8</v>
      </c>
      <c r="L188" s="172"/>
      <c r="M188" s="173"/>
      <c r="N188" s="173"/>
      <c r="O188" s="173"/>
      <c r="P188" s="173"/>
      <c r="Q188" s="116"/>
      <c r="R188" s="0" t="s">
        <v>98</v>
      </c>
      <c r="T188" s="0" t="n">
        <v>1</v>
      </c>
    </row>
    <row r="189" customFormat="false" ht="14.4" hidden="false" customHeight="false" outlineLevel="0" collapsed="false">
      <c r="A189" s="0" t="s">
        <v>114</v>
      </c>
      <c r="B189" s="0" t="s">
        <v>1866</v>
      </c>
      <c r="C189" s="0" t="s">
        <v>1863</v>
      </c>
      <c r="D189" s="0" t="n">
        <v>58</v>
      </c>
      <c r="E189" s="0" t="n">
        <v>12</v>
      </c>
      <c r="F189" s="114" t="n">
        <v>1</v>
      </c>
      <c r="G189" s="171" t="n">
        <f aca="false">Barrage[[#This Row],[Coefficient]]*Barrage[[#This Row],[Total Rounds]]*Barrage[[#This Row],[Base Damage]]</f>
        <v>696</v>
      </c>
      <c r="H189" s="183" t="s">
        <v>2602</v>
      </c>
      <c r="I189" s="114" t="n">
        <v>0.8</v>
      </c>
      <c r="J189" s="114" t="n">
        <v>0.8</v>
      </c>
      <c r="K189" s="114" t="n">
        <v>1.2</v>
      </c>
      <c r="L189" s="172"/>
      <c r="M189" s="173"/>
      <c r="N189" s="173"/>
      <c r="O189" s="173"/>
      <c r="P189" s="173"/>
      <c r="Q189" s="116"/>
      <c r="R189" s="0" t="s">
        <v>98</v>
      </c>
      <c r="T189" s="0" t="n">
        <v>1</v>
      </c>
    </row>
    <row r="190" customFormat="false" ht="14.4" hidden="false" customHeight="false" outlineLevel="0" collapsed="false">
      <c r="A190" s="0" t="s">
        <v>114</v>
      </c>
      <c r="B190" s="0" t="s">
        <v>1846</v>
      </c>
      <c r="C190" s="0" t="s">
        <v>2698</v>
      </c>
      <c r="D190" s="0" t="n">
        <v>46</v>
      </c>
      <c r="E190" s="0" t="n">
        <v>48</v>
      </c>
      <c r="F190" s="114" t="n">
        <v>1</v>
      </c>
      <c r="G190" s="171" t="n">
        <f aca="false">Barrage[[#This Row],[Coefficient]]*Barrage[[#This Row],[Total Rounds]]*Barrage[[#This Row],[Base Damage]]</f>
        <v>2208</v>
      </c>
      <c r="H190" s="183" t="s">
        <v>2602</v>
      </c>
      <c r="I190" s="114" t="n">
        <v>1</v>
      </c>
      <c r="J190" s="114" t="n">
        <v>1</v>
      </c>
      <c r="K190" s="114" t="n">
        <v>1</v>
      </c>
      <c r="L190" s="172"/>
      <c r="M190" s="173"/>
      <c r="N190" s="173"/>
      <c r="O190" s="173"/>
      <c r="P190" s="173"/>
      <c r="Q190" s="116"/>
      <c r="R190" s="0" t="s">
        <v>98</v>
      </c>
      <c r="T190" s="0" t="n">
        <v>1</v>
      </c>
    </row>
    <row r="191" customFormat="false" ht="14.4" hidden="false" customHeight="false" outlineLevel="0" collapsed="false">
      <c r="A191" s="0" t="s">
        <v>114</v>
      </c>
      <c r="B191" s="0" t="s">
        <v>1847</v>
      </c>
      <c r="C191" s="0" t="s">
        <v>2698</v>
      </c>
      <c r="D191" s="0" t="n">
        <v>181</v>
      </c>
      <c r="E191" s="0" t="n">
        <v>4</v>
      </c>
      <c r="F191" s="114" t="n">
        <v>1</v>
      </c>
      <c r="G191" s="171" t="n">
        <f aca="false">Barrage[[#This Row],[Coefficient]]*Barrage[[#This Row],[Total Rounds]]*Barrage[[#This Row],[Base Damage]]</f>
        <v>724</v>
      </c>
      <c r="H191" s="178" t="s">
        <v>2612</v>
      </c>
      <c r="I191" s="114" t="n">
        <v>1.4</v>
      </c>
      <c r="J191" s="114" t="n">
        <v>1.1</v>
      </c>
      <c r="K191" s="114" t="n">
        <v>0.9</v>
      </c>
      <c r="L191" s="172" t="n">
        <v>0.5</v>
      </c>
      <c r="M191" s="173" t="n">
        <v>4</v>
      </c>
      <c r="N191" s="173"/>
      <c r="O191" s="173"/>
      <c r="P191" s="173"/>
      <c r="Q191" s="116"/>
      <c r="R191" s="0" t="s">
        <v>98</v>
      </c>
      <c r="T191" s="0" t="n">
        <v>1</v>
      </c>
    </row>
    <row r="192" customFormat="false" ht="14.4" hidden="false" customHeight="false" outlineLevel="0" collapsed="false">
      <c r="A192" s="0" t="s">
        <v>114</v>
      </c>
      <c r="B192" s="0" t="s">
        <v>2051</v>
      </c>
      <c r="C192" s="0" t="s">
        <v>2699</v>
      </c>
      <c r="D192" s="0" t="n">
        <v>62</v>
      </c>
      <c r="E192" s="0" t="n">
        <v>20</v>
      </c>
      <c r="F192" s="114" t="n">
        <v>1</v>
      </c>
      <c r="G192" s="171" t="n">
        <f aca="false">Barrage[[#This Row],[Coefficient]]*Barrage[[#This Row],[Total Rounds]]*Barrage[[#This Row],[Base Damage]]</f>
        <v>1240</v>
      </c>
      <c r="H192" s="174" t="s">
        <v>2611</v>
      </c>
      <c r="I192" s="114" t="n">
        <v>1.1</v>
      </c>
      <c r="J192" s="114" t="n">
        <v>0.9</v>
      </c>
      <c r="K192" s="114" t="n">
        <v>0.7</v>
      </c>
      <c r="L192" s="172"/>
      <c r="M192" s="173"/>
      <c r="N192" s="173"/>
      <c r="O192" s="173"/>
      <c r="P192" s="173"/>
      <c r="Q192" s="116"/>
      <c r="R192" s="0" t="s">
        <v>98</v>
      </c>
      <c r="T192" s="0" t="n">
        <v>1</v>
      </c>
    </row>
    <row r="193" customFormat="false" ht="14.4" hidden="false" customHeight="false" outlineLevel="0" collapsed="false">
      <c r="A193" s="0" t="s">
        <v>114</v>
      </c>
      <c r="B193" s="0" t="s">
        <v>2050</v>
      </c>
      <c r="C193" s="0" t="s">
        <v>2699</v>
      </c>
      <c r="D193" s="0" t="n">
        <v>144</v>
      </c>
      <c r="E193" s="0" t="n">
        <v>6</v>
      </c>
      <c r="F193" s="114" t="n">
        <v>1</v>
      </c>
      <c r="G193" s="171" t="n">
        <f aca="false">Barrage[[#This Row],[Coefficient]]*Barrage[[#This Row],[Total Rounds]]*Barrage[[#This Row],[Base Damage]]</f>
        <v>864</v>
      </c>
      <c r="H193" s="183" t="s">
        <v>2621</v>
      </c>
      <c r="I193" s="114" t="n">
        <v>0.8</v>
      </c>
      <c r="J193" s="114" t="n">
        <v>1</v>
      </c>
      <c r="K193" s="114" t="n">
        <v>1.3</v>
      </c>
      <c r="L193" s="172"/>
      <c r="M193" s="173"/>
      <c r="N193" s="173"/>
      <c r="O193" s="173"/>
      <c r="P193" s="173"/>
      <c r="Q193" s="116"/>
      <c r="R193" s="0" t="s">
        <v>99</v>
      </c>
      <c r="T193" s="0" t="n">
        <v>1</v>
      </c>
    </row>
    <row r="194" customFormat="false" ht="14.4" hidden="false" customHeight="false" outlineLevel="0" collapsed="false">
      <c r="A194" s="0" t="s">
        <v>114</v>
      </c>
      <c r="B194" s="0" t="s">
        <v>1961</v>
      </c>
      <c r="C194" s="0" t="s">
        <v>1960</v>
      </c>
      <c r="D194" s="0" t="n">
        <v>72</v>
      </c>
      <c r="E194" s="0" t="n">
        <v>8</v>
      </c>
      <c r="F194" s="114" t="n">
        <v>1</v>
      </c>
      <c r="G194" s="171" t="n">
        <f aca="false">Barrage[[#This Row],[Coefficient]]*Barrage[[#This Row],[Total Rounds]]*Barrage[[#This Row],[Base Damage]]</f>
        <v>576</v>
      </c>
      <c r="H194" s="183" t="s">
        <v>2621</v>
      </c>
      <c r="I194" s="114" t="n">
        <v>0.8</v>
      </c>
      <c r="J194" s="114" t="n">
        <v>1</v>
      </c>
      <c r="K194" s="114" t="n">
        <v>1.3</v>
      </c>
      <c r="L194" s="172"/>
      <c r="M194" s="173"/>
      <c r="N194" s="173"/>
      <c r="O194" s="173"/>
      <c r="P194" s="173"/>
      <c r="Q194" s="116"/>
      <c r="R194" s="0" t="s">
        <v>99</v>
      </c>
      <c r="T194" s="0" t="n">
        <v>1</v>
      </c>
    </row>
    <row r="195" customFormat="false" ht="14.4" hidden="false" customHeight="false" outlineLevel="0" collapsed="false">
      <c r="A195" s="0" t="s">
        <v>114</v>
      </c>
      <c r="B195" s="0" t="s">
        <v>1811</v>
      </c>
      <c r="C195" s="0" t="s">
        <v>1810</v>
      </c>
      <c r="D195" s="0" t="n">
        <v>110</v>
      </c>
      <c r="E195" s="0" t="n">
        <v>8</v>
      </c>
      <c r="F195" s="114" t="n">
        <v>1</v>
      </c>
      <c r="G195" s="171" t="n">
        <f aca="false">Barrage[[#This Row],[Coefficient]]*Barrage[[#This Row],[Total Rounds]]*Barrage[[#This Row],[Base Damage]]</f>
        <v>880</v>
      </c>
      <c r="H195" s="183" t="s">
        <v>2602</v>
      </c>
      <c r="I195" s="114" t="n">
        <v>0.7</v>
      </c>
      <c r="J195" s="114" t="n">
        <v>1</v>
      </c>
      <c r="K195" s="114" t="n">
        <v>0.9</v>
      </c>
      <c r="L195" s="172"/>
      <c r="M195" s="173"/>
      <c r="N195" s="173"/>
      <c r="O195" s="173"/>
      <c r="P195" s="173"/>
      <c r="Q195" s="116"/>
      <c r="R195" s="0" t="s">
        <v>98</v>
      </c>
      <c r="T195" s="0" t="n">
        <v>1</v>
      </c>
    </row>
    <row r="196" customFormat="false" ht="14.4" hidden="false" customHeight="false" outlineLevel="0" collapsed="false">
      <c r="A196" s="0" t="s">
        <v>114</v>
      </c>
      <c r="B196" s="0" t="s">
        <v>1812</v>
      </c>
      <c r="C196" s="0" t="s">
        <v>1810</v>
      </c>
      <c r="D196" s="0" t="n">
        <v>20</v>
      </c>
      <c r="E196" s="0" t="n">
        <v>14</v>
      </c>
      <c r="F196" s="114" t="n">
        <v>1</v>
      </c>
      <c r="G196" s="171" t="n">
        <f aca="false">Barrage[[#This Row],[Coefficient]]*Barrage[[#This Row],[Total Rounds]]*Barrage[[#This Row],[Base Damage]]</f>
        <v>280</v>
      </c>
      <c r="H196" s="178" t="s">
        <v>2612</v>
      </c>
      <c r="I196" s="114" t="n">
        <v>1.2</v>
      </c>
      <c r="J196" s="114" t="n">
        <v>0.6</v>
      </c>
      <c r="K196" s="114" t="n">
        <v>0.6</v>
      </c>
      <c r="L196" s="172" t="n">
        <v>0.01</v>
      </c>
      <c r="M196" s="173" t="n">
        <v>1</v>
      </c>
      <c r="N196" s="173"/>
      <c r="O196" s="173"/>
      <c r="P196" s="173"/>
      <c r="Q196" s="116"/>
      <c r="R196" s="0" t="s">
        <v>98</v>
      </c>
      <c r="T196" s="0" t="n">
        <v>1</v>
      </c>
    </row>
    <row r="197" customFormat="false" ht="14.4" hidden="false" customHeight="false" outlineLevel="0" collapsed="false">
      <c r="A197" s="0" t="s">
        <v>114</v>
      </c>
      <c r="B197" s="0" t="s">
        <v>1950</v>
      </c>
      <c r="C197" s="0" t="s">
        <v>1947</v>
      </c>
      <c r="D197" s="0" t="n">
        <v>121</v>
      </c>
      <c r="E197" s="0" t="n">
        <v>6</v>
      </c>
      <c r="F197" s="114" t="n">
        <v>1</v>
      </c>
      <c r="G197" s="171" t="n">
        <f aca="false">Barrage[[#This Row],[Coefficient]]*Barrage[[#This Row],[Total Rounds]]*Barrage[[#This Row],[Base Damage]]</f>
        <v>726</v>
      </c>
      <c r="H197" s="183" t="s">
        <v>2602</v>
      </c>
      <c r="I197" s="114" t="n">
        <v>0.8</v>
      </c>
      <c r="J197" s="114" t="n">
        <v>1</v>
      </c>
      <c r="K197" s="114" t="n">
        <v>1.3</v>
      </c>
      <c r="L197" s="172"/>
      <c r="M197" s="173"/>
      <c r="N197" s="173"/>
      <c r="O197" s="173"/>
      <c r="P197" s="173"/>
      <c r="Q197" s="116"/>
      <c r="R197" s="0" t="s">
        <v>98</v>
      </c>
      <c r="T197" s="0" t="n">
        <v>1</v>
      </c>
      <c r="U197" s="0" t="s">
        <v>2700</v>
      </c>
    </row>
    <row r="198" customFormat="false" ht="14.4" hidden="false" customHeight="false" outlineLevel="0" collapsed="false">
      <c r="A198" s="0" t="s">
        <v>114</v>
      </c>
      <c r="B198" s="0" t="s">
        <v>1948</v>
      </c>
      <c r="C198" s="0" t="s">
        <v>1947</v>
      </c>
      <c r="D198" s="0" t="n">
        <v>138</v>
      </c>
      <c r="E198" s="0" t="n">
        <v>8</v>
      </c>
      <c r="F198" s="114" t="n">
        <v>1</v>
      </c>
      <c r="G198" s="171" t="n">
        <f aca="false">Barrage[[#This Row],[Coefficient]]*Barrage[[#This Row],[Total Rounds]]*Barrage[[#This Row],[Base Damage]]</f>
        <v>1104</v>
      </c>
      <c r="H198" s="183" t="s">
        <v>2602</v>
      </c>
      <c r="I198" s="114" t="n">
        <v>0.8</v>
      </c>
      <c r="J198" s="114" t="n">
        <v>1</v>
      </c>
      <c r="K198" s="114" t="n">
        <v>1.3</v>
      </c>
      <c r="L198" s="172"/>
      <c r="M198" s="173"/>
      <c r="N198" s="173"/>
      <c r="O198" s="173"/>
      <c r="P198" s="173"/>
      <c r="Q198" s="116"/>
      <c r="R198" s="0" t="s">
        <v>98</v>
      </c>
      <c r="T198" s="0" t="n">
        <v>1</v>
      </c>
      <c r="U198" s="0" t="s">
        <v>2701</v>
      </c>
    </row>
    <row r="199" customFormat="false" ht="14.4" hidden="false" customHeight="false" outlineLevel="0" collapsed="false">
      <c r="A199" s="0" t="s">
        <v>114</v>
      </c>
      <c r="B199" s="0" t="s">
        <v>1949</v>
      </c>
      <c r="C199" s="0" t="s">
        <v>1947</v>
      </c>
      <c r="D199" s="0" t="n">
        <v>20</v>
      </c>
      <c r="E199" s="0" t="n">
        <v>16</v>
      </c>
      <c r="F199" s="114" t="n">
        <v>1</v>
      </c>
      <c r="G199" s="171" t="n">
        <f aca="false">Barrage[[#This Row],[Coefficient]]*Barrage[[#This Row],[Total Rounds]]*Barrage[[#This Row],[Base Damage]]</f>
        <v>320</v>
      </c>
      <c r="H199" s="183" t="s">
        <v>2602</v>
      </c>
      <c r="I199" s="114" t="n">
        <v>1.2</v>
      </c>
      <c r="J199" s="114" t="n">
        <v>0.6</v>
      </c>
      <c r="K199" s="114" t="n">
        <v>0.6</v>
      </c>
      <c r="L199" s="172"/>
      <c r="M199" s="173"/>
      <c r="N199" s="173"/>
      <c r="O199" s="173"/>
      <c r="P199" s="173"/>
      <c r="Q199" s="116"/>
      <c r="R199" s="0" t="s">
        <v>98</v>
      </c>
      <c r="T199" s="0" t="n">
        <v>1</v>
      </c>
      <c r="U199" s="0" t="s">
        <v>2702</v>
      </c>
    </row>
    <row r="200" customFormat="false" ht="14.4" hidden="false" customHeight="false" outlineLevel="0" collapsed="false">
      <c r="A200" s="162" t="s">
        <v>1784</v>
      </c>
      <c r="B200" s="162" t="s">
        <v>1839</v>
      </c>
      <c r="C200" s="162" t="s">
        <v>2703</v>
      </c>
      <c r="D200" s="162" t="n">
        <v>108</v>
      </c>
      <c r="E200" s="162" t="n">
        <v>30</v>
      </c>
      <c r="F200" s="177" t="n">
        <v>1</v>
      </c>
      <c r="G200" s="171" t="n">
        <f aca="false">Barrage[[#This Row],[Coefficient]]*Barrage[[#This Row],[Total Rounds]]*Barrage[[#This Row],[Base Damage]]</f>
        <v>3240</v>
      </c>
      <c r="H200" s="178" t="s">
        <v>2612</v>
      </c>
      <c r="I200" s="177" t="n">
        <v>1</v>
      </c>
      <c r="J200" s="177" t="n">
        <v>0.8</v>
      </c>
      <c r="K200" s="177" t="n">
        <v>0.6</v>
      </c>
      <c r="L200" s="179" t="n">
        <v>0.3</v>
      </c>
      <c r="M200" s="180" t="n">
        <v>1</v>
      </c>
      <c r="N200" s="180"/>
      <c r="O200" s="180"/>
      <c r="P200" s="180"/>
      <c r="Q200" s="181"/>
      <c r="R200" s="0" t="s">
        <v>98</v>
      </c>
      <c r="T200" s="0" t="n">
        <v>1</v>
      </c>
      <c r="U200" s="162"/>
    </row>
    <row r="201" customFormat="false" ht="14.4" hidden="false" customHeight="false" outlineLevel="0" collapsed="false">
      <c r="A201" s="162" t="s">
        <v>1784</v>
      </c>
      <c r="B201" s="162" t="s">
        <v>1840</v>
      </c>
      <c r="C201" s="162" t="s">
        <v>2703</v>
      </c>
      <c r="D201" s="0" t="n">
        <v>108</v>
      </c>
      <c r="E201" s="0" t="n">
        <v>22</v>
      </c>
      <c r="F201" s="177" t="n">
        <v>1</v>
      </c>
      <c r="G201" s="171" t="n">
        <f aca="false">Barrage[[#This Row],[Coefficient]]*Barrage[[#This Row],[Total Rounds]]*Barrage[[#This Row],[Base Damage]]</f>
        <v>2376</v>
      </c>
      <c r="H201" s="183" t="s">
        <v>2602</v>
      </c>
      <c r="I201" s="114" t="n">
        <v>1</v>
      </c>
      <c r="J201" s="114" t="n">
        <v>0.8</v>
      </c>
      <c r="K201" s="114" t="n">
        <v>0.7</v>
      </c>
      <c r="L201" s="172"/>
      <c r="M201" s="173"/>
      <c r="N201" s="173"/>
      <c r="O201" s="173"/>
      <c r="P201" s="173"/>
      <c r="Q201" s="116"/>
      <c r="R201" s="0" t="s">
        <v>98</v>
      </c>
      <c r="T201" s="0" t="n">
        <v>1</v>
      </c>
    </row>
    <row r="202" customFormat="false" ht="14.4" hidden="false" customHeight="false" outlineLevel="0" collapsed="false">
      <c r="A202" s="0" t="s">
        <v>1784</v>
      </c>
      <c r="B202" s="0" t="s">
        <v>1785</v>
      </c>
      <c r="C202" s="0" t="s">
        <v>1783</v>
      </c>
      <c r="D202" s="0" t="n">
        <v>72</v>
      </c>
      <c r="E202" s="0" t="n">
        <v>40</v>
      </c>
      <c r="F202" s="177" t="n">
        <v>1</v>
      </c>
      <c r="G202" s="171" t="n">
        <f aca="false">Barrage[[#This Row],[Coefficient]]*Barrage[[#This Row],[Total Rounds]]*Barrage[[#This Row],[Base Damage]]</f>
        <v>2880</v>
      </c>
      <c r="H202" s="175" t="s">
        <v>2612</v>
      </c>
      <c r="I202" s="114" t="n">
        <v>0.9</v>
      </c>
      <c r="J202" s="114" t="n">
        <v>1.2</v>
      </c>
      <c r="K202" s="114" t="n">
        <v>0.7</v>
      </c>
      <c r="L202" s="172" t="n">
        <v>0.3</v>
      </c>
      <c r="M202" s="173" t="n">
        <v>1</v>
      </c>
      <c r="N202" s="173"/>
      <c r="O202" s="173"/>
      <c r="P202" s="173"/>
      <c r="Q202" s="116"/>
      <c r="R202" s="0" t="s">
        <v>98</v>
      </c>
      <c r="T202" s="0" t="n">
        <v>1</v>
      </c>
    </row>
    <row r="203" customFormat="false" ht="14.4" hidden="false" customHeight="false" outlineLevel="0" collapsed="false">
      <c r="A203" s="0" t="s">
        <v>1784</v>
      </c>
      <c r="B203" s="0" t="s">
        <v>1785</v>
      </c>
      <c r="C203" s="0" t="s">
        <v>1783</v>
      </c>
      <c r="D203" s="0" t="n">
        <v>108</v>
      </c>
      <c r="E203" s="0" t="n">
        <v>22</v>
      </c>
      <c r="F203" s="177" t="n">
        <v>1</v>
      </c>
      <c r="G203" s="171" t="n">
        <f aca="false">Barrage[[#This Row],[Coefficient]]*Barrage[[#This Row],[Total Rounds]]*Barrage[[#This Row],[Base Damage]]</f>
        <v>2376</v>
      </c>
      <c r="H203" s="183" t="s">
        <v>2602</v>
      </c>
      <c r="I203" s="114" t="n">
        <v>1</v>
      </c>
      <c r="J203" s="114" t="n">
        <v>0.8</v>
      </c>
      <c r="K203" s="114" t="n">
        <v>0.7</v>
      </c>
      <c r="L203" s="172"/>
      <c r="M203" s="173"/>
      <c r="N203" s="173"/>
      <c r="O203" s="173"/>
      <c r="P203" s="173"/>
      <c r="Q203" s="116"/>
      <c r="R203" s="0" t="s">
        <v>98</v>
      </c>
      <c r="T203" s="0" t="n">
        <v>1</v>
      </c>
    </row>
    <row r="204" customFormat="false" ht="14.4" hidden="false" customHeight="false" outlineLevel="0" collapsed="false">
      <c r="A204" s="162" t="s">
        <v>2123</v>
      </c>
      <c r="B204" s="162" t="s">
        <v>2200</v>
      </c>
      <c r="C204" s="162" t="s">
        <v>2199</v>
      </c>
      <c r="D204" s="162" t="n">
        <v>235</v>
      </c>
      <c r="E204" s="162" t="n">
        <v>4</v>
      </c>
      <c r="F204" s="177" t="n">
        <v>1</v>
      </c>
      <c r="G204" s="171" t="n">
        <f aca="false">Barrage[[#This Row],[Coefficient]]*Barrage[[#This Row],[Total Rounds]]*Barrage[[#This Row],[Base Damage]]</f>
        <v>940</v>
      </c>
      <c r="H204" s="186" t="s">
        <v>2704</v>
      </c>
      <c r="I204" s="177" t="n">
        <v>0.8</v>
      </c>
      <c r="J204" s="177" t="n">
        <v>0.9</v>
      </c>
      <c r="K204" s="177" t="n">
        <v>1.1</v>
      </c>
      <c r="L204" s="179"/>
      <c r="M204" s="180"/>
      <c r="N204" s="180"/>
      <c r="O204" s="180"/>
      <c r="P204" s="180"/>
      <c r="Q204" s="181"/>
      <c r="R204" s="0" t="s">
        <v>2705</v>
      </c>
      <c r="T204" s="0" t="n">
        <v>1</v>
      </c>
      <c r="U204" s="162"/>
    </row>
    <row r="205" customFormat="false" ht="14.4" hidden="false" customHeight="false" outlineLevel="0" collapsed="false">
      <c r="A205" s="162" t="s">
        <v>2123</v>
      </c>
      <c r="B205" s="0" t="s">
        <v>2217</v>
      </c>
      <c r="C205" s="0" t="s">
        <v>2216</v>
      </c>
      <c r="D205" s="0" t="n">
        <v>222</v>
      </c>
      <c r="E205" s="0" t="n">
        <v>12</v>
      </c>
      <c r="F205" s="177" t="n">
        <v>1</v>
      </c>
      <c r="G205" s="171" t="n">
        <f aca="false">Barrage[[#This Row],[Coefficient]]*Barrage[[#This Row],[Total Rounds]]*Barrage[[#This Row],[Base Damage]]</f>
        <v>2664</v>
      </c>
      <c r="H205" s="183" t="s">
        <v>2704</v>
      </c>
      <c r="I205" s="114" t="n">
        <v>0.8</v>
      </c>
      <c r="J205" s="114" t="n">
        <v>0.9</v>
      </c>
      <c r="K205" s="114" t="n">
        <v>1.1</v>
      </c>
      <c r="L205" s="172"/>
      <c r="M205" s="173"/>
      <c r="N205" s="173"/>
      <c r="O205" s="173"/>
      <c r="P205" s="173"/>
      <c r="Q205" s="116"/>
      <c r="R205" s="0" t="s">
        <v>2705</v>
      </c>
      <c r="T205" s="0" t="n">
        <v>1</v>
      </c>
    </row>
    <row r="206" customFormat="false" ht="14.4" hidden="false" customHeight="false" outlineLevel="0" collapsed="false">
      <c r="A206" s="162" t="s">
        <v>2123</v>
      </c>
      <c r="B206" s="0" t="s">
        <v>2331</v>
      </c>
      <c r="C206" s="0" t="s">
        <v>2330</v>
      </c>
      <c r="D206" s="0" t="n">
        <v>291</v>
      </c>
      <c r="E206" s="0" t="n">
        <v>3</v>
      </c>
      <c r="F206" s="177" t="n">
        <v>1</v>
      </c>
      <c r="G206" s="171" t="n">
        <f aca="false">Barrage[[#This Row],[Coefficient]]*Barrage[[#This Row],[Total Rounds]]*Barrage[[#This Row],[Base Damage]]</f>
        <v>873</v>
      </c>
      <c r="H206" s="183" t="s">
        <v>2704</v>
      </c>
      <c r="I206" s="114" t="n">
        <v>0.7</v>
      </c>
      <c r="J206" s="114" t="n">
        <v>1.05</v>
      </c>
      <c r="K206" s="114" t="n">
        <v>1.25</v>
      </c>
      <c r="L206" s="172"/>
      <c r="M206" s="173"/>
      <c r="N206" s="173"/>
      <c r="O206" s="173"/>
      <c r="P206" s="173"/>
      <c r="Q206" s="116"/>
      <c r="R206" s="0" t="s">
        <v>2705</v>
      </c>
      <c r="T206" s="0" t="n">
        <v>0.8</v>
      </c>
      <c r="U206" s="0" t="s">
        <v>2706</v>
      </c>
    </row>
    <row r="207" customFormat="false" ht="14.4" hidden="false" customHeight="false" outlineLevel="0" collapsed="false">
      <c r="A207" s="162" t="s">
        <v>2123</v>
      </c>
      <c r="B207" s="0" t="s">
        <v>2332</v>
      </c>
      <c r="C207" s="0" t="s">
        <v>2330</v>
      </c>
      <c r="D207" s="0" t="n">
        <v>111</v>
      </c>
      <c r="E207" s="0" t="n">
        <v>6</v>
      </c>
      <c r="F207" s="177" t="n">
        <v>1</v>
      </c>
      <c r="G207" s="171" t="n">
        <f aca="false">Barrage[[#This Row],[Coefficient]]*Barrage[[#This Row],[Total Rounds]]*Barrage[[#This Row],[Base Damage]]</f>
        <v>666</v>
      </c>
      <c r="H207" s="183" t="s">
        <v>2704</v>
      </c>
      <c r="I207" s="114" t="n">
        <v>0.8</v>
      </c>
      <c r="J207" s="114" t="n">
        <v>0.85</v>
      </c>
      <c r="K207" s="114" t="n">
        <v>1</v>
      </c>
      <c r="L207" s="172"/>
      <c r="M207" s="173"/>
      <c r="N207" s="173"/>
      <c r="O207" s="173"/>
      <c r="P207" s="173"/>
      <c r="Q207" s="116"/>
      <c r="R207" s="0" t="s">
        <v>2705</v>
      </c>
      <c r="T207" s="0" t="n">
        <v>0.8</v>
      </c>
      <c r="U207" s="0" t="s">
        <v>2706</v>
      </c>
    </row>
    <row r="208" customFormat="false" ht="14.4" hidden="false" customHeight="false" outlineLevel="0" collapsed="false">
      <c r="A208" s="162" t="s">
        <v>2123</v>
      </c>
      <c r="B208" s="162" t="s">
        <v>2328</v>
      </c>
      <c r="C208" s="162" t="s">
        <v>2327</v>
      </c>
      <c r="D208" s="162" t="n">
        <v>360</v>
      </c>
      <c r="E208" s="162" t="n">
        <v>3</v>
      </c>
      <c r="F208" s="177" t="n">
        <v>1</v>
      </c>
      <c r="G208" s="171" t="n">
        <f aca="false">Barrage[[#This Row],[Coefficient]]*Barrage[[#This Row],[Total Rounds]]*Barrage[[#This Row],[Base Damage]]</f>
        <v>1080</v>
      </c>
      <c r="H208" s="186" t="s">
        <v>2704</v>
      </c>
      <c r="I208" s="177" t="n">
        <v>0.8</v>
      </c>
      <c r="J208" s="177" t="n">
        <v>0.9</v>
      </c>
      <c r="K208" s="177" t="n">
        <v>1.1</v>
      </c>
      <c r="L208" s="179"/>
      <c r="M208" s="180"/>
      <c r="N208" s="180"/>
      <c r="O208" s="180"/>
      <c r="P208" s="180"/>
      <c r="Q208" s="181"/>
      <c r="R208" s="0" t="s">
        <v>2705</v>
      </c>
      <c r="T208" s="0" t="n">
        <v>0.8</v>
      </c>
      <c r="U208" s="0" t="s">
        <v>2706</v>
      </c>
    </row>
    <row r="209" customFormat="false" ht="14.4" hidden="false" customHeight="false" outlineLevel="0" collapsed="false">
      <c r="A209" s="162" t="s">
        <v>2123</v>
      </c>
      <c r="B209" s="0" t="s">
        <v>2148</v>
      </c>
      <c r="C209" s="0" t="s">
        <v>2147</v>
      </c>
      <c r="D209" s="0" t="n">
        <v>70</v>
      </c>
      <c r="E209" s="0" t="n">
        <v>3</v>
      </c>
      <c r="F209" s="177" t="n">
        <v>1</v>
      </c>
      <c r="G209" s="171" t="n">
        <f aca="false">Barrage[[#This Row],[Coefficient]]*Barrage[[#This Row],[Total Rounds]]*Barrage[[#This Row],[Base Damage]]</f>
        <v>210</v>
      </c>
      <c r="H209" s="183" t="s">
        <v>2707</v>
      </c>
      <c r="I209" s="177" t="n">
        <v>1</v>
      </c>
      <c r="J209" s="177" t="n">
        <v>0.8</v>
      </c>
      <c r="K209" s="177" t="n">
        <v>0.6</v>
      </c>
      <c r="L209" s="172"/>
      <c r="M209" s="173"/>
      <c r="N209" s="173"/>
      <c r="O209" s="173"/>
      <c r="P209" s="173"/>
      <c r="Q209" s="116"/>
      <c r="R209" s="0" t="s">
        <v>2705</v>
      </c>
      <c r="T209" s="0" t="n">
        <v>1.2</v>
      </c>
      <c r="U209" s="0" t="s">
        <v>2708</v>
      </c>
    </row>
    <row r="210" customFormat="false" ht="14.4" hidden="false" customHeight="false" outlineLevel="0" collapsed="false">
      <c r="A210" s="162" t="s">
        <v>2123</v>
      </c>
      <c r="B210" s="0" t="s">
        <v>2229</v>
      </c>
      <c r="C210" s="0" t="s">
        <v>2709</v>
      </c>
      <c r="D210" s="0" t="n">
        <v>120</v>
      </c>
      <c r="E210" s="0" t="n">
        <v>6</v>
      </c>
      <c r="F210" s="177" t="n">
        <v>1.05</v>
      </c>
      <c r="G210" s="171" t="n">
        <f aca="false">Barrage[[#This Row],[Coefficient]]*Barrage[[#This Row],[Total Rounds]]*Barrage[[#This Row],[Base Damage]]</f>
        <v>756</v>
      </c>
      <c r="H210" s="175" t="s">
        <v>2612</v>
      </c>
      <c r="I210" s="177" t="n">
        <v>1.15</v>
      </c>
      <c r="J210" s="177" t="n">
        <v>0.9</v>
      </c>
      <c r="K210" s="177" t="n">
        <v>0.7</v>
      </c>
      <c r="L210" s="172" t="n">
        <v>0.08</v>
      </c>
      <c r="M210" s="173" t="n">
        <v>3</v>
      </c>
      <c r="N210" s="187"/>
      <c r="O210" s="173"/>
      <c r="P210" s="173"/>
      <c r="Q210" s="116"/>
      <c r="R210" s="0" t="s">
        <v>2705</v>
      </c>
      <c r="T210" s="0" t="n">
        <v>1.2</v>
      </c>
      <c r="U210" s="0" t="s">
        <v>2708</v>
      </c>
    </row>
    <row r="211" customFormat="false" ht="14.4" hidden="false" customHeight="false" outlineLevel="0" collapsed="false">
      <c r="A211" s="162" t="s">
        <v>2123</v>
      </c>
      <c r="B211" s="0" t="s">
        <v>2265</v>
      </c>
      <c r="C211" s="0" t="s">
        <v>2264</v>
      </c>
      <c r="D211" s="0" t="n">
        <v>336</v>
      </c>
      <c r="E211" s="0" t="n">
        <v>2</v>
      </c>
      <c r="F211" s="177" t="n">
        <v>1</v>
      </c>
      <c r="G211" s="171" t="n">
        <f aca="false">Barrage[[#This Row],[Coefficient]]*Barrage[[#This Row],[Total Rounds]]*Barrage[[#This Row],[Base Damage]]</f>
        <v>672</v>
      </c>
      <c r="H211" s="175" t="s">
        <v>2710</v>
      </c>
      <c r="I211" s="114" t="n">
        <v>0.7</v>
      </c>
      <c r="J211" s="114" t="n">
        <v>1.05</v>
      </c>
      <c r="K211" s="114" t="n">
        <v>1.25</v>
      </c>
      <c r="L211" s="172" t="n">
        <v>1</v>
      </c>
      <c r="M211" s="173" t="n">
        <v>2</v>
      </c>
      <c r="N211" s="187" t="n">
        <v>0.1</v>
      </c>
      <c r="O211" s="173"/>
      <c r="P211" s="173"/>
      <c r="Q211" s="116"/>
      <c r="R211" s="0" t="s">
        <v>2705</v>
      </c>
      <c r="T211" s="0" t="n">
        <v>1.2</v>
      </c>
      <c r="U211" s="0" t="s">
        <v>2711</v>
      </c>
    </row>
    <row r="212" customFormat="false" ht="14.4" hidden="false" customHeight="false" outlineLevel="0" collapsed="false">
      <c r="A212" s="162" t="s">
        <v>2123</v>
      </c>
      <c r="B212" s="0" t="s">
        <v>2266</v>
      </c>
      <c r="C212" s="0" t="s">
        <v>2264</v>
      </c>
      <c r="D212" s="0" t="n">
        <v>121</v>
      </c>
      <c r="E212" s="0" t="n">
        <v>4</v>
      </c>
      <c r="F212" s="177" t="n">
        <v>1</v>
      </c>
      <c r="G212" s="171" t="n">
        <f aca="false">Barrage[[#This Row],[Coefficient]]*Barrage[[#This Row],[Total Rounds]]*Barrage[[#This Row],[Base Damage]]</f>
        <v>484</v>
      </c>
      <c r="H212" s="175" t="s">
        <v>2710</v>
      </c>
      <c r="I212" s="114" t="n">
        <v>0.8</v>
      </c>
      <c r="J212" s="114" t="n">
        <v>0.85</v>
      </c>
      <c r="K212" s="114" t="n">
        <v>1</v>
      </c>
      <c r="L212" s="172" t="n">
        <v>1</v>
      </c>
      <c r="M212" s="173" t="n">
        <v>2</v>
      </c>
      <c r="N212" s="187" t="n">
        <v>0.1</v>
      </c>
      <c r="O212" s="173"/>
      <c r="P212" s="173"/>
      <c r="Q212" s="116"/>
      <c r="R212" s="0" t="s">
        <v>2705</v>
      </c>
      <c r="T212" s="0" t="n">
        <v>1.2</v>
      </c>
      <c r="U212" s="0" t="s">
        <v>2711</v>
      </c>
    </row>
    <row r="213" customFormat="false" ht="14.4" hidden="false" customHeight="false" outlineLevel="0" collapsed="false">
      <c r="A213" s="162" t="s">
        <v>2123</v>
      </c>
      <c r="B213" s="0" t="s">
        <v>2267</v>
      </c>
      <c r="C213" s="0" t="s">
        <v>2264</v>
      </c>
      <c r="D213" s="0" t="n">
        <v>202</v>
      </c>
      <c r="E213" s="0" t="n">
        <v>4</v>
      </c>
      <c r="F213" s="177" t="n">
        <v>1</v>
      </c>
      <c r="G213" s="171" t="n">
        <f aca="false">Barrage[[#This Row],[Coefficient]]*Barrage[[#This Row],[Total Rounds]]*Barrage[[#This Row],[Base Damage]]</f>
        <v>808</v>
      </c>
      <c r="H213" s="174" t="s">
        <v>2712</v>
      </c>
      <c r="I213" s="114" t="n">
        <v>0.8</v>
      </c>
      <c r="J213" s="114" t="n">
        <v>1.1</v>
      </c>
      <c r="K213" s="114" t="n">
        <v>1.3</v>
      </c>
      <c r="L213" s="172"/>
      <c r="M213" s="173"/>
      <c r="N213" s="173"/>
      <c r="O213" s="188" t="n">
        <v>1</v>
      </c>
      <c r="P213" s="189" t="n">
        <v>0.2</v>
      </c>
      <c r="Q213" s="116"/>
      <c r="R213" s="0" t="s">
        <v>2705</v>
      </c>
      <c r="T213" s="0" t="n">
        <v>1.2</v>
      </c>
      <c r="U213" s="0" t="s">
        <v>2713</v>
      </c>
    </row>
    <row r="214" customFormat="false" ht="14.4" hidden="false" customHeight="false" outlineLevel="0" collapsed="false">
      <c r="A214" s="162" t="s">
        <v>2123</v>
      </c>
      <c r="B214" s="0" t="s">
        <v>2307</v>
      </c>
      <c r="C214" s="0" t="s">
        <v>2306</v>
      </c>
      <c r="D214" s="0" t="n">
        <v>260</v>
      </c>
      <c r="E214" s="0" t="n">
        <v>24</v>
      </c>
      <c r="F214" s="177" t="n">
        <v>1</v>
      </c>
      <c r="G214" s="171" t="n">
        <f aca="false">Barrage[[#This Row],[Coefficient]]*Barrage[[#This Row],[Total Rounds]]*Barrage[[#This Row],[Base Damage]]</f>
        <v>6240</v>
      </c>
      <c r="H214" s="175" t="s">
        <v>2710</v>
      </c>
      <c r="I214" s="114" t="n">
        <v>0.8</v>
      </c>
      <c r="J214" s="114" t="n">
        <v>0.9</v>
      </c>
      <c r="K214" s="114" t="n">
        <v>1.1</v>
      </c>
      <c r="L214" s="172"/>
      <c r="M214" s="173"/>
      <c r="N214" s="173"/>
      <c r="O214" s="173"/>
      <c r="P214" s="173"/>
      <c r="Q214" s="116"/>
      <c r="R214" s="0" t="s">
        <v>2705</v>
      </c>
      <c r="T214" s="0" t="n">
        <v>0.8</v>
      </c>
      <c r="U214" s="0" t="s">
        <v>2706</v>
      </c>
    </row>
    <row r="215" customFormat="false" ht="14.4" hidden="false" customHeight="false" outlineLevel="0" collapsed="false">
      <c r="A215" s="162" t="s">
        <v>2123</v>
      </c>
      <c r="B215" s="0" t="s">
        <v>2308</v>
      </c>
      <c r="C215" s="0" t="s">
        <v>2306</v>
      </c>
      <c r="D215" s="0" t="n">
        <v>240</v>
      </c>
      <c r="E215" s="0" t="n">
        <v>18</v>
      </c>
      <c r="F215" s="177" t="n">
        <v>1</v>
      </c>
      <c r="G215" s="171" t="n">
        <f aca="false">Barrage[[#This Row],[Coefficient]]*Barrage[[#This Row],[Total Rounds]]*Barrage[[#This Row],[Base Damage]]</f>
        <v>4320</v>
      </c>
      <c r="H215" s="183" t="s">
        <v>2714</v>
      </c>
      <c r="I215" s="114" t="n">
        <v>0.8</v>
      </c>
      <c r="J215" s="114" t="n">
        <v>1</v>
      </c>
      <c r="K215" s="114" t="n">
        <v>1.3</v>
      </c>
      <c r="L215" s="172"/>
      <c r="M215" s="173"/>
      <c r="N215" s="173"/>
      <c r="O215" s="173"/>
      <c r="P215" s="173"/>
      <c r="Q215" s="116"/>
      <c r="R215" s="0" t="s">
        <v>2705</v>
      </c>
      <c r="T215" s="0" t="n">
        <v>1</v>
      </c>
    </row>
    <row r="216" customFormat="false" ht="14.4" hidden="false" customHeight="false" outlineLevel="0" collapsed="false">
      <c r="A216" s="162" t="s">
        <v>2123</v>
      </c>
      <c r="B216" s="0" t="s">
        <v>2169</v>
      </c>
      <c r="C216" s="0" t="s">
        <v>2168</v>
      </c>
      <c r="D216" s="0" t="n">
        <v>301</v>
      </c>
      <c r="E216" s="0" t="n">
        <v>8</v>
      </c>
      <c r="F216" s="114" t="n">
        <v>1</v>
      </c>
      <c r="G216" s="171" t="n">
        <f aca="false">Barrage[[#This Row],[Coefficient]]*Barrage[[#This Row],[Total Rounds]]*Barrage[[#This Row],[Base Damage]]</f>
        <v>2408</v>
      </c>
      <c r="H216" s="174" t="s">
        <v>2712</v>
      </c>
      <c r="I216" s="114" t="n">
        <v>0.8</v>
      </c>
      <c r="J216" s="114" t="n">
        <v>1.1</v>
      </c>
      <c r="K216" s="114" t="n">
        <v>1.3</v>
      </c>
      <c r="L216" s="172"/>
      <c r="M216" s="173"/>
      <c r="N216" s="173"/>
      <c r="O216" s="188" t="n">
        <v>1</v>
      </c>
      <c r="P216" s="189" t="n">
        <v>0.3</v>
      </c>
      <c r="Q216" s="116"/>
      <c r="R216" s="0" t="s">
        <v>2705</v>
      </c>
      <c r="T216" s="0" t="n">
        <v>1</v>
      </c>
      <c r="U216" s="0" t="s">
        <v>2715</v>
      </c>
    </row>
    <row r="217" customFormat="false" ht="14.4" hidden="false" customHeight="false" outlineLevel="0" collapsed="false">
      <c r="A217" s="162" t="s">
        <v>2123</v>
      </c>
      <c r="B217" s="0" t="s">
        <v>2184</v>
      </c>
      <c r="C217" s="0" t="s">
        <v>2183</v>
      </c>
      <c r="D217" s="0" t="n">
        <v>176</v>
      </c>
      <c r="E217" s="0" t="n">
        <v>1</v>
      </c>
      <c r="F217" s="114" t="n">
        <v>2.45</v>
      </c>
      <c r="G217" s="171" t="n">
        <f aca="false">Barrage[[#This Row],[Coefficient]]*Barrage[[#This Row],[Total Rounds]]*Barrage[[#This Row],[Base Damage]]</f>
        <v>431.2</v>
      </c>
      <c r="H217" s="174" t="s">
        <v>2716</v>
      </c>
      <c r="I217" s="114" t="n">
        <v>1</v>
      </c>
      <c r="J217" s="114" t="n">
        <v>1</v>
      </c>
      <c r="K217" s="114" t="n">
        <v>1</v>
      </c>
      <c r="L217" s="172"/>
      <c r="M217" s="173"/>
      <c r="N217" s="173"/>
      <c r="O217" s="173"/>
      <c r="P217" s="173"/>
      <c r="Q217" s="116" t="s">
        <v>2717</v>
      </c>
      <c r="R217" s="0" t="s">
        <v>2705</v>
      </c>
      <c r="T217" s="0" t="n">
        <v>1</v>
      </c>
      <c r="U217" s="0" t="s">
        <v>2718</v>
      </c>
    </row>
    <row r="218" customFormat="false" ht="14.4" hidden="false" customHeight="false" outlineLevel="0" collapsed="false">
      <c r="A218" s="162" t="s">
        <v>2123</v>
      </c>
      <c r="B218" s="162" t="s">
        <v>2210</v>
      </c>
      <c r="C218" s="152" t="s">
        <v>2209</v>
      </c>
      <c r="D218" s="0" t="n">
        <v>172</v>
      </c>
      <c r="E218" s="0" t="n">
        <f aca="false">2*5</f>
        <v>10</v>
      </c>
      <c r="F218" s="114" t="n">
        <v>1</v>
      </c>
      <c r="G218" s="171" t="n">
        <f aca="false">Barrage[[#This Row],[Coefficient]]*Barrage[[#This Row],[Total Rounds]]*Barrage[[#This Row],[Base Damage]]</f>
        <v>1720</v>
      </c>
      <c r="H218" s="183" t="s">
        <v>2714</v>
      </c>
      <c r="I218" s="114" t="n">
        <v>0.8</v>
      </c>
      <c r="J218" s="114" t="n">
        <v>1.1</v>
      </c>
      <c r="K218" s="114" t="n">
        <v>1.3</v>
      </c>
      <c r="L218" s="172"/>
      <c r="M218" s="173"/>
      <c r="N218" s="173"/>
      <c r="O218" s="173"/>
      <c r="P218" s="173"/>
      <c r="Q218" s="116"/>
      <c r="R218" s="0" t="s">
        <v>2705</v>
      </c>
      <c r="T218" s="0" t="n">
        <v>1</v>
      </c>
    </row>
    <row r="219" customFormat="false" ht="14.4" hidden="false" customHeight="false" outlineLevel="0" collapsed="false">
      <c r="A219" s="162" t="s">
        <v>2123</v>
      </c>
      <c r="B219" s="162" t="s">
        <v>2211</v>
      </c>
      <c r="C219" s="152" t="s">
        <v>2209</v>
      </c>
      <c r="D219" s="0" t="n">
        <v>172</v>
      </c>
      <c r="E219" s="0" t="n">
        <f aca="false">2*3</f>
        <v>6</v>
      </c>
      <c r="F219" s="114" t="n">
        <v>1</v>
      </c>
      <c r="G219" s="171" t="n">
        <f aca="false">Barrage[[#This Row],[Coefficient]]*Barrage[[#This Row],[Total Rounds]]*Barrage[[#This Row],[Base Damage]]</f>
        <v>1032</v>
      </c>
      <c r="H219" s="183" t="s">
        <v>2714</v>
      </c>
      <c r="I219" s="114" t="n">
        <v>0.8</v>
      </c>
      <c r="J219" s="114" t="n">
        <v>1.1</v>
      </c>
      <c r="K219" s="114" t="n">
        <v>1.3</v>
      </c>
      <c r="L219" s="172"/>
      <c r="M219" s="173"/>
      <c r="N219" s="173"/>
      <c r="O219" s="173"/>
      <c r="P219" s="173"/>
      <c r="Q219" s="116"/>
      <c r="R219" s="0" t="s">
        <v>2705</v>
      </c>
      <c r="T219" s="0" t="n">
        <v>1</v>
      </c>
    </row>
    <row r="220" customFormat="false" ht="14.4" hidden="false" customHeight="false" outlineLevel="0" collapsed="false">
      <c r="A220" s="162" t="s">
        <v>2123</v>
      </c>
      <c r="B220" s="162" t="s">
        <v>2212</v>
      </c>
      <c r="C220" s="152" t="s">
        <v>2209</v>
      </c>
      <c r="D220" s="0" t="n">
        <v>172</v>
      </c>
      <c r="E220" s="0" t="n">
        <f aca="false">2*2</f>
        <v>4</v>
      </c>
      <c r="F220" s="114" t="n">
        <v>1</v>
      </c>
      <c r="G220" s="171" t="n">
        <f aca="false">Barrage[[#This Row],[Coefficient]]*Barrage[[#This Row],[Total Rounds]]*Barrage[[#This Row],[Base Damage]]</f>
        <v>688</v>
      </c>
      <c r="H220" s="183" t="s">
        <v>2714</v>
      </c>
      <c r="I220" s="114" t="n">
        <v>0.8</v>
      </c>
      <c r="J220" s="114" t="n">
        <v>1.1</v>
      </c>
      <c r="K220" s="114" t="n">
        <v>1.3</v>
      </c>
      <c r="L220" s="172"/>
      <c r="M220" s="173"/>
      <c r="N220" s="173"/>
      <c r="O220" s="173"/>
      <c r="P220" s="173"/>
      <c r="Q220" s="116"/>
      <c r="R220" s="0" t="s">
        <v>2705</v>
      </c>
      <c r="T220" s="0" t="n">
        <v>1</v>
      </c>
    </row>
    <row r="221" customFormat="false" ht="14.4" hidden="false" customHeight="false" outlineLevel="0" collapsed="false">
      <c r="A221" s="162" t="s">
        <v>2123</v>
      </c>
      <c r="B221" s="162" t="s">
        <v>2213</v>
      </c>
      <c r="C221" s="152" t="s">
        <v>2209</v>
      </c>
      <c r="D221" s="0" t="n">
        <v>172</v>
      </c>
      <c r="E221" s="0" t="n">
        <v>2</v>
      </c>
      <c r="F221" s="114" t="n">
        <v>1</v>
      </c>
      <c r="G221" s="171" t="n">
        <f aca="false">Barrage[[#This Row],[Coefficient]]*Barrage[[#This Row],[Total Rounds]]*Barrage[[#This Row],[Base Damage]]</f>
        <v>344</v>
      </c>
      <c r="H221" s="183" t="s">
        <v>2714</v>
      </c>
      <c r="I221" s="114" t="n">
        <v>0.8</v>
      </c>
      <c r="J221" s="114" t="n">
        <v>1.1</v>
      </c>
      <c r="K221" s="114" t="n">
        <v>1.3</v>
      </c>
      <c r="L221" s="172"/>
      <c r="M221" s="173"/>
      <c r="N221" s="173"/>
      <c r="O221" s="173"/>
      <c r="P221" s="173"/>
      <c r="Q221" s="116"/>
      <c r="R221" s="0" t="s">
        <v>2705</v>
      </c>
      <c r="T221" s="0" t="n">
        <v>1</v>
      </c>
    </row>
    <row r="222" customFormat="false" ht="28.8" hidden="false" customHeight="false" outlineLevel="0" collapsed="false">
      <c r="A222" s="162" t="s">
        <v>2123</v>
      </c>
      <c r="B222" s="162" t="s">
        <v>2296</v>
      </c>
      <c r="C222" s="0" t="s">
        <v>2295</v>
      </c>
      <c r="D222" s="0" t="n">
        <v>226</v>
      </c>
      <c r="E222" s="0" t="n">
        <v>5</v>
      </c>
      <c r="F222" s="114" t="n">
        <v>1</v>
      </c>
      <c r="G222" s="171" t="n">
        <f aca="false">Barrage[[#This Row],[Coefficient]]*Barrage[[#This Row],[Total Rounds]]*Barrage[[#This Row],[Base Damage]]</f>
        <v>1130</v>
      </c>
      <c r="H222" s="183" t="s">
        <v>2704</v>
      </c>
      <c r="I222" s="114" t="n">
        <v>0.8</v>
      </c>
      <c r="J222" s="114" t="n">
        <v>0.9</v>
      </c>
      <c r="K222" s="114" t="n">
        <v>1.1</v>
      </c>
      <c r="L222" s="172"/>
      <c r="M222" s="173"/>
      <c r="N222" s="173"/>
      <c r="O222" s="173"/>
      <c r="P222" s="173"/>
      <c r="Q222" s="116"/>
      <c r="R222" s="0" t="s">
        <v>2705</v>
      </c>
      <c r="T222" s="0" t="n">
        <v>0.8</v>
      </c>
      <c r="U222" s="0" t="s">
        <v>2706</v>
      </c>
    </row>
    <row r="223" customFormat="false" ht="28.8" hidden="false" customHeight="false" outlineLevel="0" collapsed="false">
      <c r="A223" s="162" t="s">
        <v>2123</v>
      </c>
      <c r="B223" s="162" t="s">
        <v>2298</v>
      </c>
      <c r="C223" s="0" t="s">
        <v>2295</v>
      </c>
      <c r="D223" s="0" t="n">
        <v>226</v>
      </c>
      <c r="E223" s="0" t="n">
        <v>3</v>
      </c>
      <c r="F223" s="114" t="n">
        <v>1</v>
      </c>
      <c r="G223" s="171" t="n">
        <f aca="false">Barrage[[#This Row],[Coefficient]]*Barrage[[#This Row],[Total Rounds]]*Barrage[[#This Row],[Base Damage]]</f>
        <v>678</v>
      </c>
      <c r="H223" s="183" t="s">
        <v>2704</v>
      </c>
      <c r="I223" s="114" t="n">
        <v>0.8</v>
      </c>
      <c r="J223" s="114" t="n">
        <v>0.9</v>
      </c>
      <c r="K223" s="114" t="n">
        <v>1.1</v>
      </c>
      <c r="L223" s="172"/>
      <c r="M223" s="173"/>
      <c r="N223" s="173"/>
      <c r="O223" s="173"/>
      <c r="P223" s="173"/>
      <c r="Q223" s="116"/>
      <c r="R223" s="0" t="s">
        <v>2705</v>
      </c>
      <c r="T223" s="0" t="n">
        <v>0.8</v>
      </c>
      <c r="U223" s="0" t="s">
        <v>2706</v>
      </c>
    </row>
    <row r="224" customFormat="false" ht="28.8" hidden="false" customHeight="false" outlineLevel="0" collapsed="false">
      <c r="A224" s="162" t="s">
        <v>2123</v>
      </c>
      <c r="B224" s="162" t="s">
        <v>2300</v>
      </c>
      <c r="C224" s="0" t="s">
        <v>2295</v>
      </c>
      <c r="D224" s="0" t="n">
        <v>226</v>
      </c>
      <c r="E224" s="0" t="n">
        <v>2</v>
      </c>
      <c r="F224" s="114" t="n">
        <v>1</v>
      </c>
      <c r="G224" s="171" t="n">
        <f aca="false">Barrage[[#This Row],[Coefficient]]*Barrage[[#This Row],[Total Rounds]]*Barrage[[#This Row],[Base Damage]]</f>
        <v>452</v>
      </c>
      <c r="H224" s="183" t="s">
        <v>2704</v>
      </c>
      <c r="I224" s="114" t="n">
        <v>0.8</v>
      </c>
      <c r="J224" s="114" t="n">
        <v>0.9</v>
      </c>
      <c r="K224" s="114" t="n">
        <v>1.1</v>
      </c>
      <c r="L224" s="172"/>
      <c r="M224" s="173"/>
      <c r="N224" s="173"/>
      <c r="O224" s="173"/>
      <c r="P224" s="173"/>
      <c r="Q224" s="116"/>
      <c r="R224" s="0" t="s">
        <v>2705</v>
      </c>
      <c r="T224" s="0" t="n">
        <v>0.8</v>
      </c>
      <c r="U224" s="0" t="s">
        <v>2706</v>
      </c>
    </row>
    <row r="225" customFormat="false" ht="28.8" hidden="false" customHeight="false" outlineLevel="0" collapsed="false">
      <c r="A225" s="162" t="s">
        <v>2123</v>
      </c>
      <c r="B225" s="162" t="s">
        <v>2302</v>
      </c>
      <c r="C225" s="0" t="s">
        <v>2295</v>
      </c>
      <c r="D225" s="0" t="n">
        <v>226</v>
      </c>
      <c r="E225" s="0" t="n">
        <v>1</v>
      </c>
      <c r="F225" s="114" t="n">
        <v>1</v>
      </c>
      <c r="G225" s="171" t="n">
        <f aca="false">Barrage[[#This Row],[Coefficient]]*Barrage[[#This Row],[Total Rounds]]*Barrage[[#This Row],[Base Damage]]</f>
        <v>226</v>
      </c>
      <c r="H225" s="183" t="s">
        <v>2704</v>
      </c>
      <c r="I225" s="114" t="n">
        <v>0.8</v>
      </c>
      <c r="J225" s="114" t="n">
        <v>0.9</v>
      </c>
      <c r="K225" s="114" t="n">
        <v>1.1</v>
      </c>
      <c r="L225" s="172"/>
      <c r="M225" s="173"/>
      <c r="N225" s="173"/>
      <c r="O225" s="173"/>
      <c r="P225" s="173"/>
      <c r="Q225" s="116"/>
      <c r="R225" s="0" t="s">
        <v>2705</v>
      </c>
      <c r="T225" s="0" t="n">
        <v>0.8</v>
      </c>
      <c r="U225" s="0" t="s">
        <v>2706</v>
      </c>
    </row>
    <row r="226" customFormat="false" ht="28.8" hidden="false" customHeight="false" outlineLevel="0" collapsed="false">
      <c r="A226" s="162" t="s">
        <v>2123</v>
      </c>
      <c r="B226" s="162" t="s">
        <v>2297</v>
      </c>
      <c r="C226" s="0" t="s">
        <v>2295</v>
      </c>
      <c r="D226" s="0" t="n">
        <v>96</v>
      </c>
      <c r="E226" s="0" t="n">
        <v>10</v>
      </c>
      <c r="F226" s="114" t="n">
        <v>1</v>
      </c>
      <c r="G226" s="171" t="n">
        <f aca="false">Barrage[[#This Row],[Coefficient]]*Barrage[[#This Row],[Total Rounds]]*Barrage[[#This Row],[Base Damage]]</f>
        <v>960</v>
      </c>
      <c r="H226" s="183" t="s">
        <v>2704</v>
      </c>
      <c r="I226" s="114" t="n">
        <v>0.8</v>
      </c>
      <c r="J226" s="114" t="n">
        <v>0.85</v>
      </c>
      <c r="K226" s="114" t="n">
        <v>1</v>
      </c>
      <c r="L226" s="172"/>
      <c r="M226" s="173"/>
      <c r="N226" s="173"/>
      <c r="O226" s="173"/>
      <c r="P226" s="173"/>
      <c r="Q226" s="116"/>
      <c r="R226" s="0" t="s">
        <v>2705</v>
      </c>
      <c r="T226" s="0" t="n">
        <v>0.8</v>
      </c>
      <c r="U226" s="0" t="s">
        <v>2706</v>
      </c>
    </row>
    <row r="227" customFormat="false" ht="28.8" hidden="false" customHeight="false" outlineLevel="0" collapsed="false">
      <c r="A227" s="162" t="s">
        <v>2123</v>
      </c>
      <c r="B227" s="162" t="s">
        <v>2299</v>
      </c>
      <c r="C227" s="0" t="s">
        <v>2295</v>
      </c>
      <c r="D227" s="0" t="n">
        <v>96</v>
      </c>
      <c r="E227" s="0" t="n">
        <v>6</v>
      </c>
      <c r="F227" s="114" t="n">
        <v>1</v>
      </c>
      <c r="G227" s="171" t="n">
        <f aca="false">Barrage[[#This Row],[Coefficient]]*Barrage[[#This Row],[Total Rounds]]*Barrage[[#This Row],[Base Damage]]</f>
        <v>576</v>
      </c>
      <c r="H227" s="183" t="s">
        <v>2704</v>
      </c>
      <c r="I227" s="114" t="n">
        <v>0.8</v>
      </c>
      <c r="J227" s="114" t="n">
        <v>0.85</v>
      </c>
      <c r="K227" s="114" t="n">
        <v>1</v>
      </c>
      <c r="L227" s="172"/>
      <c r="M227" s="173"/>
      <c r="N227" s="173"/>
      <c r="O227" s="173"/>
      <c r="P227" s="173"/>
      <c r="Q227" s="116"/>
      <c r="R227" s="0" t="s">
        <v>2705</v>
      </c>
      <c r="T227" s="0" t="n">
        <v>0.8</v>
      </c>
      <c r="U227" s="0" t="s">
        <v>2706</v>
      </c>
    </row>
    <row r="228" customFormat="false" ht="28.8" hidden="false" customHeight="false" outlineLevel="0" collapsed="false">
      <c r="A228" s="162" t="s">
        <v>2123</v>
      </c>
      <c r="B228" s="162" t="s">
        <v>2301</v>
      </c>
      <c r="C228" s="0" t="s">
        <v>2295</v>
      </c>
      <c r="D228" s="0" t="n">
        <v>96</v>
      </c>
      <c r="E228" s="0" t="n">
        <v>4</v>
      </c>
      <c r="F228" s="114" t="n">
        <v>1</v>
      </c>
      <c r="G228" s="171" t="n">
        <f aca="false">Barrage[[#This Row],[Coefficient]]*Barrage[[#This Row],[Total Rounds]]*Barrage[[#This Row],[Base Damage]]</f>
        <v>384</v>
      </c>
      <c r="H228" s="183" t="s">
        <v>2704</v>
      </c>
      <c r="I228" s="114" t="n">
        <v>0.8</v>
      </c>
      <c r="J228" s="114" t="n">
        <v>0.85</v>
      </c>
      <c r="K228" s="114" t="n">
        <v>1</v>
      </c>
      <c r="L228" s="172"/>
      <c r="M228" s="173"/>
      <c r="N228" s="173"/>
      <c r="O228" s="173"/>
      <c r="P228" s="173"/>
      <c r="Q228" s="116"/>
      <c r="R228" s="0" t="s">
        <v>2705</v>
      </c>
      <c r="T228" s="0" t="n">
        <v>0.8</v>
      </c>
      <c r="U228" s="0" t="s">
        <v>2706</v>
      </c>
    </row>
    <row r="229" customFormat="false" ht="28.8" hidden="false" customHeight="false" outlineLevel="0" collapsed="false">
      <c r="A229" s="162" t="s">
        <v>2123</v>
      </c>
      <c r="B229" s="162" t="s">
        <v>2303</v>
      </c>
      <c r="C229" s="0" t="s">
        <v>2295</v>
      </c>
      <c r="D229" s="0" t="n">
        <v>96</v>
      </c>
      <c r="E229" s="0" t="n">
        <v>2</v>
      </c>
      <c r="F229" s="114" t="n">
        <v>1</v>
      </c>
      <c r="G229" s="171" t="n">
        <f aca="false">Barrage[[#This Row],[Coefficient]]*Barrage[[#This Row],[Total Rounds]]*Barrage[[#This Row],[Base Damage]]</f>
        <v>192</v>
      </c>
      <c r="H229" s="183" t="s">
        <v>2704</v>
      </c>
      <c r="I229" s="114" t="n">
        <v>0.8</v>
      </c>
      <c r="J229" s="114" t="n">
        <v>0.85</v>
      </c>
      <c r="K229" s="114" t="n">
        <v>1</v>
      </c>
      <c r="L229" s="172"/>
      <c r="M229" s="173"/>
      <c r="N229" s="173"/>
      <c r="O229" s="173"/>
      <c r="P229" s="173"/>
      <c r="Q229" s="116"/>
      <c r="R229" s="0" t="s">
        <v>2705</v>
      </c>
      <c r="T229" s="0" t="n">
        <v>0.8</v>
      </c>
      <c r="U229" s="0" t="s">
        <v>2706</v>
      </c>
    </row>
    <row r="230" customFormat="false" ht="14.4" hidden="false" customHeight="false" outlineLevel="0" collapsed="false">
      <c r="A230" s="0" t="s">
        <v>2123</v>
      </c>
      <c r="B230" s="0" t="s">
        <v>2271</v>
      </c>
      <c r="C230" s="0" t="s">
        <v>2270</v>
      </c>
      <c r="D230" s="0" t="n">
        <v>222</v>
      </c>
      <c r="E230" s="0" t="n">
        <v>12</v>
      </c>
      <c r="F230" s="114" t="n">
        <v>1</v>
      </c>
      <c r="G230" s="171" t="n">
        <f aca="false">Barrage[[#This Row],[Coefficient]]*Barrage[[#This Row],[Total Rounds]]*Barrage[[#This Row],[Base Damage]]</f>
        <v>2664</v>
      </c>
      <c r="H230" s="0" t="s">
        <v>2704</v>
      </c>
      <c r="I230" s="114" t="n">
        <v>0.8</v>
      </c>
      <c r="J230" s="114" t="n">
        <v>0.9</v>
      </c>
      <c r="K230" s="114" t="n">
        <v>1</v>
      </c>
      <c r="L230" s="172"/>
      <c r="M230" s="173"/>
      <c r="N230" s="173"/>
      <c r="O230" s="173"/>
      <c r="P230" s="173"/>
      <c r="Q230" s="116"/>
      <c r="R230" s="0" t="s">
        <v>2705</v>
      </c>
      <c r="T230" s="0" t="n">
        <v>1</v>
      </c>
    </row>
    <row r="231" customFormat="false" ht="14.4" hidden="false" customHeight="false" outlineLevel="0" collapsed="false">
      <c r="A231" s="0" t="s">
        <v>2123</v>
      </c>
      <c r="B231" s="0" t="s">
        <v>2156</v>
      </c>
      <c r="C231" s="0" t="s">
        <v>2155</v>
      </c>
      <c r="D231" s="0" t="n">
        <v>121</v>
      </c>
      <c r="E231" s="0" t="n">
        <v>4</v>
      </c>
      <c r="F231" s="114" t="n">
        <v>1</v>
      </c>
      <c r="G231" s="171" t="n">
        <f aca="false">Barrage[[#This Row],[Coefficient]]*Barrage[[#This Row],[Total Rounds]]*Barrage[[#This Row],[Base Damage]]</f>
        <v>484</v>
      </c>
      <c r="H231" s="0" t="s">
        <v>2704</v>
      </c>
      <c r="I231" s="114" t="n">
        <v>0.8</v>
      </c>
      <c r="J231" s="114" t="n">
        <v>0.85</v>
      </c>
      <c r="K231" s="114" t="n">
        <v>1</v>
      </c>
      <c r="L231" s="172"/>
      <c r="M231" s="173"/>
      <c r="N231" s="173"/>
      <c r="O231" s="173"/>
      <c r="P231" s="173"/>
      <c r="Q231" s="116"/>
      <c r="R231" s="0" t="s">
        <v>2705</v>
      </c>
      <c r="T231" s="0" t="n">
        <v>1.2</v>
      </c>
      <c r="U231" s="0" t="s">
        <v>2708</v>
      </c>
    </row>
    <row r="232" customFormat="false" ht="14.4" hidden="false" customHeight="false" outlineLevel="0" collapsed="false">
      <c r="A232" s="0" t="s">
        <v>2123</v>
      </c>
      <c r="B232" s="0" t="s">
        <v>2157</v>
      </c>
      <c r="C232" s="0" t="s">
        <v>2155</v>
      </c>
      <c r="D232" s="0" t="n">
        <v>456</v>
      </c>
      <c r="E232" s="0" t="n">
        <v>2</v>
      </c>
      <c r="F232" s="114" t="n">
        <v>1</v>
      </c>
      <c r="G232" s="171" t="n">
        <f aca="false">Barrage[[#This Row],[Coefficient]]*Barrage[[#This Row],[Total Rounds]]*Barrage[[#This Row],[Base Damage]]</f>
        <v>912</v>
      </c>
      <c r="H232" s="0" t="s">
        <v>2704</v>
      </c>
      <c r="I232" s="114" t="n">
        <v>0.7</v>
      </c>
      <c r="J232" s="114" t="n">
        <v>1.05</v>
      </c>
      <c r="K232" s="114" t="n">
        <v>1.25</v>
      </c>
      <c r="L232" s="172"/>
      <c r="M232" s="173"/>
      <c r="N232" s="173"/>
      <c r="O232" s="173"/>
      <c r="P232" s="173"/>
      <c r="Q232" s="116"/>
      <c r="R232" s="0" t="s">
        <v>2705</v>
      </c>
      <c r="T232" s="0" t="n">
        <v>1.2</v>
      </c>
      <c r="U232" s="0" t="s">
        <v>2708</v>
      </c>
    </row>
    <row r="233" customFormat="false" ht="14.4" hidden="false" customHeight="false" outlineLevel="0" collapsed="false">
      <c r="A233" s="0" t="s">
        <v>2123</v>
      </c>
      <c r="B233" s="0" t="s">
        <v>2158</v>
      </c>
      <c r="C233" s="0" t="s">
        <v>2155</v>
      </c>
      <c r="D233" s="0" t="n">
        <v>121</v>
      </c>
      <c r="E233" s="0" t="n">
        <v>4</v>
      </c>
      <c r="F233" s="114" t="n">
        <v>1</v>
      </c>
      <c r="G233" s="171" t="n">
        <f aca="false">Barrage[[#This Row],[Coefficient]]*Barrage[[#This Row],[Total Rounds]]*Barrage[[#This Row],[Base Damage]]</f>
        <v>484</v>
      </c>
      <c r="H233" s="0" t="s">
        <v>2704</v>
      </c>
      <c r="I233" s="114" t="n">
        <v>0.8</v>
      </c>
      <c r="J233" s="114" t="n">
        <v>0.85</v>
      </c>
      <c r="K233" s="114" t="n">
        <v>1</v>
      </c>
      <c r="L233" s="172"/>
      <c r="M233" s="173"/>
      <c r="N233" s="173"/>
      <c r="O233" s="173"/>
      <c r="P233" s="173"/>
      <c r="Q233" s="116"/>
      <c r="R233" s="0" t="s">
        <v>2705</v>
      </c>
      <c r="T233" s="0" t="n">
        <v>1.2</v>
      </c>
      <c r="U233" s="0" t="s">
        <v>2708</v>
      </c>
    </row>
    <row r="234" customFormat="false" ht="14.4" hidden="false" customHeight="false" outlineLevel="0" collapsed="false">
      <c r="A234" s="0" t="s">
        <v>2123</v>
      </c>
      <c r="B234" s="0" t="s">
        <v>2159</v>
      </c>
      <c r="C234" s="0" t="s">
        <v>2155</v>
      </c>
      <c r="D234" s="0" t="n">
        <v>240</v>
      </c>
      <c r="E234" s="0" t="n">
        <v>6</v>
      </c>
      <c r="F234" s="114" t="n">
        <v>1</v>
      </c>
      <c r="G234" s="171" t="n">
        <f aca="false">Barrage[[#This Row],[Coefficient]]*Barrage[[#This Row],[Total Rounds]]*Barrage[[#This Row],[Base Damage]]</f>
        <v>1440</v>
      </c>
      <c r="H234" s="0" t="s">
        <v>2621</v>
      </c>
      <c r="I234" s="114" t="n">
        <v>0.8</v>
      </c>
      <c r="J234" s="114" t="n">
        <v>1.1</v>
      </c>
      <c r="K234" s="114" t="n">
        <v>1.3</v>
      </c>
      <c r="L234" s="172"/>
      <c r="M234" s="173"/>
      <c r="N234" s="173"/>
      <c r="O234" s="173"/>
      <c r="P234" s="173"/>
      <c r="Q234" s="116"/>
      <c r="R234" s="0" t="s">
        <v>2705</v>
      </c>
      <c r="T234" s="0" t="n">
        <v>1</v>
      </c>
      <c r="U234" s="0" t="s">
        <v>2718</v>
      </c>
    </row>
    <row r="235" customFormat="false" ht="14.4" hidden="false" customHeight="false" outlineLevel="0" collapsed="false">
      <c r="A235" s="0" t="s">
        <v>2123</v>
      </c>
      <c r="B235" s="0" t="s">
        <v>2141</v>
      </c>
      <c r="C235" s="0" t="s">
        <v>2719</v>
      </c>
      <c r="D235" s="0" t="n">
        <v>322</v>
      </c>
      <c r="E235" s="0" t="n">
        <v>3</v>
      </c>
      <c r="F235" s="114" t="n">
        <v>1</v>
      </c>
      <c r="G235" s="171" t="n">
        <f aca="false">Barrage[[#This Row],[Coefficient]]*Barrage[[#This Row],[Total Rounds]]*Barrage[[#This Row],[Base Damage]]</f>
        <v>966</v>
      </c>
      <c r="H235" s="0" t="s">
        <v>2704</v>
      </c>
      <c r="I235" s="114" t="n">
        <v>0.8</v>
      </c>
      <c r="J235" s="114" t="n">
        <v>0.85</v>
      </c>
      <c r="K235" s="114" t="n">
        <v>1</v>
      </c>
      <c r="L235" s="172"/>
      <c r="M235" s="173"/>
      <c r="N235" s="173"/>
      <c r="O235" s="173"/>
      <c r="P235" s="173"/>
      <c r="Q235" s="116"/>
      <c r="R235" s="0" t="s">
        <v>2705</v>
      </c>
      <c r="T235" s="0" t="n">
        <v>0.8</v>
      </c>
      <c r="U235" s="0" t="s">
        <v>2706</v>
      </c>
    </row>
    <row r="236" customFormat="false" ht="14.4" hidden="false" customHeight="false" outlineLevel="0" collapsed="false">
      <c r="A236" s="0" t="s">
        <v>2123</v>
      </c>
      <c r="B236" s="0" t="s">
        <v>2142</v>
      </c>
      <c r="C236" s="0" t="s">
        <v>2719</v>
      </c>
      <c r="D236" s="0" t="n">
        <v>138</v>
      </c>
      <c r="E236" s="0" t="n">
        <v>6</v>
      </c>
      <c r="F236" s="114" t="n">
        <v>1</v>
      </c>
      <c r="G236" s="171" t="n">
        <f aca="false">Barrage[[#This Row],[Coefficient]]*Barrage[[#This Row],[Total Rounds]]*Barrage[[#This Row],[Base Damage]]</f>
        <v>828</v>
      </c>
      <c r="H236" s="0" t="s">
        <v>2704</v>
      </c>
      <c r="I236" s="114" t="n">
        <v>0.8</v>
      </c>
      <c r="J236" s="114" t="n">
        <v>0.95</v>
      </c>
      <c r="K236" s="114" t="n">
        <v>1.15</v>
      </c>
      <c r="L236" s="172"/>
      <c r="M236" s="173"/>
      <c r="N236" s="173"/>
      <c r="O236" s="173"/>
      <c r="P236" s="173"/>
      <c r="Q236" s="116"/>
      <c r="R236" s="0" t="s">
        <v>2705</v>
      </c>
      <c r="T236" s="0" t="n">
        <v>0.8</v>
      </c>
      <c r="U236" s="0" t="s">
        <v>2706</v>
      </c>
    </row>
    <row r="237" customFormat="false" ht="14.4" hidden="false" customHeight="false" outlineLevel="0" collapsed="false">
      <c r="A237" s="0" t="s">
        <v>2123</v>
      </c>
      <c r="B237" s="0" t="s">
        <v>2244</v>
      </c>
      <c r="C237" s="0" t="s">
        <v>2243</v>
      </c>
      <c r="D237" s="0" t="n">
        <v>28</v>
      </c>
      <c r="E237" s="0" t="n">
        <v>16</v>
      </c>
      <c r="F237" s="114" t="n">
        <v>1</v>
      </c>
      <c r="G237" s="171" t="n">
        <f aca="false">Barrage[[#This Row],[Coefficient]]*Barrage[[#This Row],[Total Rounds]]*Barrage[[#This Row],[Base Damage]]</f>
        <v>448</v>
      </c>
      <c r="H237" s="174" t="s">
        <v>2611</v>
      </c>
      <c r="I237" s="114" t="n">
        <v>1.1</v>
      </c>
      <c r="J237" s="114" t="n">
        <v>0.9</v>
      </c>
      <c r="K237" s="114" t="n">
        <v>0.7</v>
      </c>
      <c r="L237" s="172"/>
      <c r="M237" s="173"/>
      <c r="N237" s="173"/>
      <c r="O237" s="173"/>
      <c r="P237" s="173"/>
      <c r="Q237" s="116"/>
      <c r="R237" s="0" t="s">
        <v>98</v>
      </c>
      <c r="T237" s="0" t="n">
        <v>1</v>
      </c>
    </row>
    <row r="238" customFormat="false" ht="14.4" hidden="false" customHeight="false" outlineLevel="0" collapsed="false">
      <c r="A238" s="0" t="s">
        <v>2123</v>
      </c>
      <c r="B238" s="0" t="s">
        <v>2245</v>
      </c>
      <c r="C238" s="0" t="s">
        <v>2243</v>
      </c>
      <c r="D238" s="0" t="n">
        <v>20</v>
      </c>
      <c r="E238" s="0" t="n">
        <v>24</v>
      </c>
      <c r="F238" s="114" t="n">
        <v>1</v>
      </c>
      <c r="G238" s="171" t="n">
        <f aca="false">Barrage[[#This Row],[Coefficient]]*Barrage[[#This Row],[Total Rounds]]*Barrage[[#This Row],[Base Damage]]</f>
        <v>480</v>
      </c>
      <c r="H238" s="175" t="s">
        <v>2612</v>
      </c>
      <c r="I238" s="114" t="n">
        <v>1.2</v>
      </c>
      <c r="J238" s="114" t="n">
        <v>0.6</v>
      </c>
      <c r="K238" s="114" t="n">
        <v>0.6</v>
      </c>
      <c r="L238" s="172"/>
      <c r="M238" s="173"/>
      <c r="N238" s="173"/>
      <c r="O238" s="173"/>
      <c r="P238" s="173"/>
      <c r="Q238" s="116"/>
      <c r="R238" s="0" t="s">
        <v>98</v>
      </c>
      <c r="T238" s="0" t="n">
        <v>1</v>
      </c>
    </row>
    <row r="239" customFormat="false" ht="14.4" hidden="false" customHeight="false" outlineLevel="0" collapsed="false">
      <c r="A239" s="0" t="s">
        <v>2123</v>
      </c>
      <c r="B239" s="0" t="s">
        <v>2246</v>
      </c>
      <c r="C239" s="0" t="s">
        <v>2243</v>
      </c>
      <c r="D239" s="0" t="n">
        <v>31</v>
      </c>
      <c r="E239" s="0" t="n">
        <v>24</v>
      </c>
      <c r="F239" s="114" t="n">
        <v>1</v>
      </c>
      <c r="G239" s="171" t="n">
        <f aca="false">Barrage[[#This Row],[Coefficient]]*Barrage[[#This Row],[Total Rounds]]*Barrage[[#This Row],[Base Damage]]</f>
        <v>744</v>
      </c>
      <c r="H239" s="174" t="s">
        <v>2611</v>
      </c>
      <c r="I239" s="114" t="n">
        <v>1.1</v>
      </c>
      <c r="J239" s="114" t="n">
        <v>0.9</v>
      </c>
      <c r="K239" s="114" t="n">
        <v>0.7</v>
      </c>
      <c r="L239" s="172"/>
      <c r="M239" s="173"/>
      <c r="N239" s="173"/>
      <c r="O239" s="173"/>
      <c r="P239" s="173"/>
      <c r="Q239" s="116"/>
      <c r="R239" s="0" t="s">
        <v>98</v>
      </c>
      <c r="T239" s="0" t="n">
        <v>1</v>
      </c>
    </row>
    <row r="240" customFormat="false" ht="14.4" hidden="false" customHeight="false" outlineLevel="0" collapsed="false">
      <c r="A240" s="0" t="s">
        <v>2123</v>
      </c>
      <c r="B240" s="0" t="s">
        <v>2234</v>
      </c>
      <c r="C240" s="0" t="s">
        <v>2233</v>
      </c>
      <c r="D240" s="0" t="n">
        <v>226</v>
      </c>
      <c r="E240" s="0" t="n">
        <v>3</v>
      </c>
      <c r="F240" s="114" t="n">
        <v>1</v>
      </c>
      <c r="G240" s="171" t="n">
        <f aca="false">Barrage[[#This Row],[Coefficient]]*Barrage[[#This Row],[Total Rounds]]*Barrage[[#This Row],[Base Damage]]</f>
        <v>678</v>
      </c>
      <c r="H240" s="0" t="s">
        <v>2704</v>
      </c>
      <c r="I240" s="114" t="n">
        <v>0.8</v>
      </c>
      <c r="J240" s="114" t="n">
        <v>0.9</v>
      </c>
      <c r="K240" s="114" t="n">
        <v>1.1</v>
      </c>
      <c r="L240" s="172"/>
      <c r="M240" s="173"/>
      <c r="N240" s="173"/>
      <c r="O240" s="173"/>
      <c r="P240" s="173"/>
      <c r="Q240" s="116"/>
      <c r="R240" s="0" t="s">
        <v>2705</v>
      </c>
      <c r="T240" s="0" t="n">
        <v>0.8</v>
      </c>
      <c r="U240" s="0" t="s">
        <v>2706</v>
      </c>
    </row>
    <row r="241" customFormat="false" ht="14.4" hidden="false" customHeight="false" outlineLevel="0" collapsed="false">
      <c r="A241" s="0" t="s">
        <v>2123</v>
      </c>
      <c r="B241" s="0" t="s">
        <v>2235</v>
      </c>
      <c r="C241" s="0" t="s">
        <v>2233</v>
      </c>
      <c r="D241" s="0" t="n">
        <v>96</v>
      </c>
      <c r="E241" s="0" t="n">
        <v>6</v>
      </c>
      <c r="F241" s="114" t="n">
        <v>1</v>
      </c>
      <c r="G241" s="171" t="n">
        <f aca="false">Barrage[[#This Row],[Coefficient]]*Barrage[[#This Row],[Total Rounds]]*Barrage[[#This Row],[Base Damage]]</f>
        <v>576</v>
      </c>
      <c r="H241" s="0" t="s">
        <v>2704</v>
      </c>
      <c r="I241" s="114" t="n">
        <v>0.8</v>
      </c>
      <c r="J241" s="114" t="n">
        <v>0.85</v>
      </c>
      <c r="K241" s="114" t="n">
        <v>1</v>
      </c>
      <c r="L241" s="172"/>
      <c r="M241" s="173"/>
      <c r="N241" s="173"/>
      <c r="O241" s="173"/>
      <c r="P241" s="173"/>
      <c r="Q241" s="116"/>
      <c r="R241" s="0" t="s">
        <v>2705</v>
      </c>
      <c r="T241" s="0" t="n">
        <v>0.8</v>
      </c>
      <c r="U241" s="0" t="s">
        <v>2706</v>
      </c>
    </row>
    <row r="242" customFormat="false" ht="14.4" hidden="false" customHeight="false" outlineLevel="0" collapsed="false">
      <c r="A242" s="0" t="s">
        <v>242</v>
      </c>
      <c r="B242" s="0" t="s">
        <v>2353</v>
      </c>
      <c r="C242" s="0" t="s">
        <v>2352</v>
      </c>
      <c r="D242" s="0" t="n">
        <v>202</v>
      </c>
      <c r="E242" s="0" t="n">
        <v>12</v>
      </c>
      <c r="F242" s="114" t="n">
        <v>1</v>
      </c>
      <c r="G242" s="171" t="n">
        <f aca="false">Barrage[[#This Row],[Coefficient]]*Barrage[[#This Row],[Total Rounds]]*Barrage[[#This Row],[Base Damage]]</f>
        <v>2424</v>
      </c>
      <c r="H242" s="183" t="s">
        <v>2714</v>
      </c>
      <c r="I242" s="114" t="n">
        <v>0.8</v>
      </c>
      <c r="J242" s="114" t="n">
        <v>1.1</v>
      </c>
      <c r="K242" s="114" t="n">
        <v>1.3</v>
      </c>
      <c r="L242" s="172"/>
      <c r="M242" s="173"/>
      <c r="N242" s="173"/>
      <c r="O242" s="173"/>
      <c r="P242" s="173"/>
      <c r="Q242" s="116"/>
      <c r="R242" s="0" t="s">
        <v>2705</v>
      </c>
      <c r="T242" s="0" t="n">
        <v>1</v>
      </c>
    </row>
    <row r="243" customFormat="false" ht="14.4" hidden="false" customHeight="false" outlineLevel="0" collapsed="false">
      <c r="A243" s="0" t="s">
        <v>242</v>
      </c>
      <c r="B243" s="0" t="s">
        <v>2378</v>
      </c>
      <c r="C243" s="0" t="s">
        <v>2720</v>
      </c>
      <c r="D243" s="0" t="n">
        <v>240</v>
      </c>
      <c r="E243" s="0" t="n">
        <v>9</v>
      </c>
      <c r="F243" s="114" t="n">
        <v>1</v>
      </c>
      <c r="G243" s="171" t="n">
        <f aca="false">Barrage[[#This Row],[Coefficient]]*Barrage[[#This Row],[Total Rounds]]*Barrage[[#This Row],[Base Damage]]</f>
        <v>2160</v>
      </c>
      <c r="H243" s="183" t="s">
        <v>2714</v>
      </c>
      <c r="I243" s="114" t="n">
        <v>0.8</v>
      </c>
      <c r="J243" s="114" t="n">
        <v>1.1</v>
      </c>
      <c r="K243" s="114" t="n">
        <v>1.3</v>
      </c>
      <c r="L243" s="172"/>
      <c r="M243" s="173"/>
      <c r="N243" s="173"/>
      <c r="O243" s="173"/>
      <c r="P243" s="173"/>
      <c r="Q243" s="116"/>
      <c r="R243" s="0" t="s">
        <v>2705</v>
      </c>
      <c r="T243" s="0" t="n">
        <v>1</v>
      </c>
    </row>
    <row r="244" customFormat="false" ht="14.4" hidden="false" customHeight="false" outlineLevel="0" collapsed="false">
      <c r="A244" s="0" t="s">
        <v>242</v>
      </c>
      <c r="B244" s="0" t="s">
        <v>2425</v>
      </c>
      <c r="C244" s="0" t="s">
        <v>2721</v>
      </c>
      <c r="D244" s="0" t="n">
        <v>225</v>
      </c>
      <c r="E244" s="0" t="n">
        <v>1</v>
      </c>
      <c r="F244" s="114" t="n">
        <v>2</v>
      </c>
      <c r="G244" s="171" t="n">
        <f aca="false">Barrage[[#This Row],[Coefficient]]*Barrage[[#This Row],[Total Rounds]]*Barrage[[#This Row],[Base Damage]]</f>
        <v>450</v>
      </c>
      <c r="H244" s="174" t="s">
        <v>2611</v>
      </c>
      <c r="I244" s="114" t="n">
        <v>1</v>
      </c>
      <c r="J244" s="114" t="n">
        <v>1</v>
      </c>
      <c r="K244" s="114" t="n">
        <v>1</v>
      </c>
      <c r="L244" s="172"/>
      <c r="M244" s="173"/>
      <c r="N244" s="173"/>
      <c r="O244" s="173"/>
      <c r="P244" s="173"/>
      <c r="Q244" s="116"/>
      <c r="R244" s="0" t="s">
        <v>2705</v>
      </c>
      <c r="T244" s="0" t="n">
        <v>1</v>
      </c>
      <c r="U244" s="0" t="s">
        <v>2718</v>
      </c>
    </row>
    <row r="245" customFormat="false" ht="14.4" hidden="false" customHeight="false" outlineLevel="0" collapsed="false">
      <c r="A245" s="0" t="s">
        <v>242</v>
      </c>
      <c r="B245" s="0" t="s">
        <v>2417</v>
      </c>
      <c r="C245" s="0" t="s">
        <v>2416</v>
      </c>
      <c r="D245" s="0" t="n">
        <v>332</v>
      </c>
      <c r="E245" s="0" t="n">
        <v>1</v>
      </c>
      <c r="F245" s="114" t="n">
        <v>1</v>
      </c>
      <c r="G245" s="171" t="n">
        <f aca="false">Barrage[[#This Row],[Coefficient]]*Barrage[[#This Row],[Total Rounds]]*Barrage[[#This Row],[Base Damage]]</f>
        <v>332</v>
      </c>
      <c r="H245" s="183" t="s">
        <v>2704</v>
      </c>
      <c r="I245" s="114" t="n">
        <v>0.8</v>
      </c>
      <c r="J245" s="114" t="n">
        <v>0.95</v>
      </c>
      <c r="K245" s="114" t="n">
        <v>1.15</v>
      </c>
      <c r="L245" s="172"/>
      <c r="M245" s="173"/>
      <c r="N245" s="173"/>
      <c r="O245" s="173"/>
      <c r="P245" s="173"/>
      <c r="Q245" s="116"/>
      <c r="R245" s="0" t="s">
        <v>2705</v>
      </c>
      <c r="T245" s="0" t="n">
        <v>0.8</v>
      </c>
      <c r="U245" s="0" t="s">
        <v>2706</v>
      </c>
    </row>
    <row r="246" customFormat="false" ht="14.4" hidden="false" customHeight="false" outlineLevel="0" collapsed="false">
      <c r="A246" s="0" t="s">
        <v>242</v>
      </c>
      <c r="B246" s="0" t="s">
        <v>2418</v>
      </c>
      <c r="C246" s="0" t="s">
        <v>2416</v>
      </c>
      <c r="D246" s="0" t="n">
        <v>138</v>
      </c>
      <c r="E246" s="0" t="n">
        <v>2</v>
      </c>
      <c r="F246" s="114" t="n">
        <v>1</v>
      </c>
      <c r="G246" s="171" t="n">
        <f aca="false">Barrage[[#This Row],[Coefficient]]*Barrage[[#This Row],[Total Rounds]]*Barrage[[#This Row],[Base Damage]]</f>
        <v>276</v>
      </c>
      <c r="H246" s="183" t="s">
        <v>2704</v>
      </c>
      <c r="I246" s="114" t="n">
        <v>0.8</v>
      </c>
      <c r="J246" s="114" t="n">
        <v>0.85</v>
      </c>
      <c r="K246" s="114" t="n">
        <v>1</v>
      </c>
      <c r="L246" s="172"/>
      <c r="M246" s="173"/>
      <c r="N246" s="173"/>
      <c r="O246" s="173"/>
      <c r="P246" s="173"/>
      <c r="Q246" s="116"/>
      <c r="R246" s="0" t="s">
        <v>2705</v>
      </c>
      <c r="T246" s="0" t="n">
        <v>0.8</v>
      </c>
      <c r="U246" s="0" t="s">
        <v>2706</v>
      </c>
    </row>
    <row r="247" customFormat="false" ht="14.4" hidden="false" customHeight="false" outlineLevel="0" collapsed="false">
      <c r="A247" s="0" t="s">
        <v>242</v>
      </c>
      <c r="B247" s="0" t="s">
        <v>2357</v>
      </c>
      <c r="C247" s="0" t="s">
        <v>2356</v>
      </c>
      <c r="D247" s="0" t="n">
        <v>288</v>
      </c>
      <c r="E247" s="0" t="n">
        <v>6</v>
      </c>
      <c r="F247" s="114" t="n">
        <v>1</v>
      </c>
      <c r="G247" s="171" t="n">
        <f aca="false">Barrage[[#This Row],[Coefficient]]*Barrage[[#This Row],[Total Rounds]]*Barrage[[#This Row],[Base Damage]]</f>
        <v>1728</v>
      </c>
      <c r="H247" s="183" t="s">
        <v>2707</v>
      </c>
      <c r="I247" s="114" t="n">
        <v>0.8</v>
      </c>
      <c r="J247" s="114" t="n">
        <v>1.1</v>
      </c>
      <c r="K247" s="114" t="n">
        <v>1.3</v>
      </c>
      <c r="L247" s="172"/>
      <c r="M247" s="173"/>
      <c r="N247" s="173"/>
      <c r="O247" s="173"/>
      <c r="P247" s="173"/>
      <c r="Q247" s="116"/>
      <c r="R247" s="0" t="s">
        <v>2705</v>
      </c>
      <c r="T247" s="0" t="n">
        <v>0.8</v>
      </c>
      <c r="U247" s="0" t="s">
        <v>2706</v>
      </c>
    </row>
    <row r="248" customFormat="false" ht="14.4" hidden="false" customHeight="false" outlineLevel="0" collapsed="false">
      <c r="A248" s="0" t="s">
        <v>242</v>
      </c>
      <c r="B248" s="0" t="s">
        <v>2386</v>
      </c>
      <c r="C248" s="0" t="s">
        <v>2385</v>
      </c>
      <c r="D248" s="0" t="n">
        <v>207</v>
      </c>
      <c r="E248" s="0" t="n">
        <v>3</v>
      </c>
      <c r="F248" s="114" t="n">
        <v>1</v>
      </c>
      <c r="G248" s="171" t="n">
        <f aca="false">Barrage[[#This Row],[Coefficient]]*Barrage[[#This Row],[Total Rounds]]*Barrage[[#This Row],[Base Damage]]</f>
        <v>621</v>
      </c>
      <c r="H248" s="0" t="s">
        <v>2621</v>
      </c>
      <c r="I248" s="114" t="n">
        <v>0.8</v>
      </c>
      <c r="J248" s="114" t="n">
        <v>1.1</v>
      </c>
      <c r="K248" s="114" t="n">
        <v>1.3</v>
      </c>
      <c r="L248" s="172"/>
      <c r="M248" s="173"/>
      <c r="N248" s="173"/>
      <c r="O248" s="173"/>
      <c r="P248" s="173"/>
      <c r="Q248" s="116"/>
      <c r="R248" s="0" t="s">
        <v>2705</v>
      </c>
      <c r="T248" s="0" t="n">
        <v>1</v>
      </c>
    </row>
    <row r="249" customFormat="false" ht="14.4" hidden="false" customHeight="false" outlineLevel="0" collapsed="false">
      <c r="A249" s="0" t="s">
        <v>242</v>
      </c>
      <c r="B249" s="0" t="s">
        <v>2387</v>
      </c>
      <c r="C249" s="0" t="s">
        <v>2385</v>
      </c>
      <c r="D249" s="0" t="n">
        <v>207</v>
      </c>
      <c r="E249" s="0" t="n">
        <v>6</v>
      </c>
      <c r="F249" s="114" t="n">
        <v>1</v>
      </c>
      <c r="G249" s="171" t="n">
        <f aca="false">Barrage[[#This Row],[Coefficient]]*Barrage[[#This Row],[Total Rounds]]*Barrage[[#This Row],[Base Damage]]</f>
        <v>1242</v>
      </c>
      <c r="H249" s="0" t="s">
        <v>2621</v>
      </c>
      <c r="I249" s="114" t="n">
        <v>0.8</v>
      </c>
      <c r="J249" s="114" t="n">
        <v>1.1</v>
      </c>
      <c r="K249" s="114" t="n">
        <v>1.3</v>
      </c>
      <c r="L249" s="172"/>
      <c r="M249" s="173"/>
      <c r="N249" s="173"/>
      <c r="O249" s="173"/>
      <c r="P249" s="173"/>
      <c r="Q249" s="116"/>
      <c r="R249" s="0" t="s">
        <v>2705</v>
      </c>
      <c r="T249" s="0" t="n">
        <v>1</v>
      </c>
    </row>
    <row r="250" customFormat="false" ht="14.4" hidden="false" customHeight="false" outlineLevel="0" collapsed="false">
      <c r="A250" s="0" t="s">
        <v>242</v>
      </c>
      <c r="B250" s="0" t="s">
        <v>2373</v>
      </c>
      <c r="C250" s="0" t="s">
        <v>2374</v>
      </c>
      <c r="D250" s="0" t="n">
        <v>294</v>
      </c>
      <c r="E250" s="0" t="n">
        <v>1</v>
      </c>
      <c r="F250" s="114" t="n">
        <v>1</v>
      </c>
      <c r="G250" s="171" t="n">
        <f aca="false">Barrage[[#This Row],[Coefficient]]*Barrage[[#This Row],[Total Rounds]]*Barrage[[#This Row],[Base Damage]]</f>
        <v>294</v>
      </c>
      <c r="H250" s="175" t="s">
        <v>2710</v>
      </c>
      <c r="I250" s="114" t="n">
        <v>1</v>
      </c>
      <c r="J250" s="114" t="n">
        <v>1</v>
      </c>
      <c r="K250" s="114" t="n">
        <v>1</v>
      </c>
      <c r="L250" s="172" t="n">
        <v>0.5</v>
      </c>
      <c r="M250" s="173" t="n">
        <v>3</v>
      </c>
      <c r="N250" s="187" t="n">
        <v>0.3</v>
      </c>
      <c r="O250" s="173"/>
      <c r="P250" s="173"/>
      <c r="Q250" s="116"/>
      <c r="R250" s="0" t="s">
        <v>2705</v>
      </c>
      <c r="T250" s="0" t="n">
        <v>1</v>
      </c>
      <c r="U250" s="0" t="s">
        <v>2722</v>
      </c>
    </row>
    <row r="251" customFormat="false" ht="14.4" hidden="false" customHeight="false" outlineLevel="0" collapsed="false">
      <c r="A251" s="0" t="s">
        <v>242</v>
      </c>
      <c r="B251" s="0" t="s">
        <v>2372</v>
      </c>
      <c r="C251" s="0" t="s">
        <v>2374</v>
      </c>
      <c r="D251" s="0" t="n">
        <v>248</v>
      </c>
      <c r="E251" s="0" t="n">
        <v>3</v>
      </c>
      <c r="F251" s="114" t="n">
        <v>1</v>
      </c>
      <c r="G251" s="171" t="n">
        <f aca="false">Barrage[[#This Row],[Coefficient]]*Barrage[[#This Row],[Total Rounds]]*Barrage[[#This Row],[Base Damage]]</f>
        <v>744</v>
      </c>
      <c r="H251" s="174" t="s">
        <v>2723</v>
      </c>
      <c r="I251" s="114" t="n">
        <v>1</v>
      </c>
      <c r="J251" s="114" t="n">
        <v>1</v>
      </c>
      <c r="K251" s="114" t="n">
        <v>1</v>
      </c>
      <c r="L251" s="172"/>
      <c r="M251" s="173"/>
      <c r="N251" s="173"/>
      <c r="O251" s="173"/>
      <c r="P251" s="173"/>
      <c r="Q251" s="116"/>
      <c r="R251" s="0" t="s">
        <v>2705</v>
      </c>
      <c r="T251" s="0" t="n">
        <v>1</v>
      </c>
    </row>
    <row r="252" customFormat="false" ht="14.4" hidden="false" customHeight="false" outlineLevel="0" collapsed="false">
      <c r="A252" s="0" t="s">
        <v>242</v>
      </c>
      <c r="B252" s="0" t="s">
        <v>2371</v>
      </c>
      <c r="C252" s="0" t="s">
        <v>2374</v>
      </c>
      <c r="D252" s="0" t="n">
        <v>72</v>
      </c>
      <c r="E252" s="0" t="n">
        <v>24</v>
      </c>
      <c r="F252" s="114" t="n">
        <v>1</v>
      </c>
      <c r="G252" s="171" t="n">
        <f aca="false">Barrage[[#This Row],[Coefficient]]*Barrage[[#This Row],[Total Rounds]]*Barrage[[#This Row],[Base Damage]]</f>
        <v>1728</v>
      </c>
      <c r="H252" s="0" t="s">
        <v>2704</v>
      </c>
      <c r="I252" s="114" t="n">
        <v>1</v>
      </c>
      <c r="J252" s="114" t="n">
        <v>1</v>
      </c>
      <c r="K252" s="114" t="n">
        <v>1</v>
      </c>
      <c r="L252" s="172"/>
      <c r="M252" s="173"/>
      <c r="N252" s="173"/>
      <c r="O252" s="173"/>
      <c r="P252" s="173"/>
      <c r="Q252" s="116"/>
      <c r="R252" s="0" t="s">
        <v>2705</v>
      </c>
      <c r="T252" s="0" t="n">
        <v>1</v>
      </c>
    </row>
    <row r="253" customFormat="false" ht="14.4" hidden="false" customHeight="false" outlineLevel="0" collapsed="false">
      <c r="A253" s="0" t="s">
        <v>1857</v>
      </c>
      <c r="B253" s="0" t="s">
        <v>1859</v>
      </c>
      <c r="C253" s="0" t="s">
        <v>2724</v>
      </c>
      <c r="D253" s="0" t="n">
        <v>173</v>
      </c>
      <c r="E253" s="0" t="n">
        <v>15</v>
      </c>
      <c r="F253" s="114" t="n">
        <v>1</v>
      </c>
      <c r="G253" s="171" t="n">
        <f aca="false">Barrage[[#This Row],[Coefficient]]*Barrage[[#This Row],[Total Rounds]]*Barrage[[#This Row],[Base Damage]]</f>
        <v>2595</v>
      </c>
      <c r="H253" s="0" t="s">
        <v>2704</v>
      </c>
      <c r="I253" s="114" t="n">
        <v>0.8</v>
      </c>
      <c r="J253" s="114" t="n">
        <v>0.85</v>
      </c>
      <c r="K253" s="114" t="n">
        <v>1</v>
      </c>
      <c r="L253" s="172"/>
      <c r="M253" s="173"/>
      <c r="N253" s="173"/>
      <c r="O253" s="173"/>
      <c r="P253" s="173"/>
      <c r="Q253" s="116"/>
      <c r="R253" s="0" t="s">
        <v>2705</v>
      </c>
      <c r="T253" s="0" t="n">
        <v>0.8</v>
      </c>
      <c r="U253" s="0" t="s">
        <v>2706</v>
      </c>
    </row>
    <row r="254" customFormat="false" ht="14.4" hidden="false" customHeight="false" outlineLevel="0" collapsed="false">
      <c r="A254" s="0" t="s">
        <v>1857</v>
      </c>
      <c r="B254" s="0" t="s">
        <v>1910</v>
      </c>
      <c r="C254" s="0" t="s">
        <v>1909</v>
      </c>
      <c r="D254" s="0" t="n">
        <v>100</v>
      </c>
      <c r="E254" s="0" t="n">
        <v>8</v>
      </c>
      <c r="F254" s="114" t="n">
        <v>1</v>
      </c>
      <c r="G254" s="171" t="n">
        <f aca="false">Barrage[[#This Row],[Coefficient]]*Barrage[[#This Row],[Total Rounds]]*Barrage[[#This Row],[Base Damage]]</f>
        <v>800</v>
      </c>
      <c r="H254" s="175" t="s">
        <v>2612</v>
      </c>
      <c r="I254" s="114" t="n">
        <v>1.4</v>
      </c>
      <c r="J254" s="114" t="n">
        <v>1.1</v>
      </c>
      <c r="K254" s="114" t="n">
        <v>0.9</v>
      </c>
      <c r="L254" s="172"/>
      <c r="M254" s="173"/>
      <c r="N254" s="173"/>
      <c r="O254" s="173"/>
      <c r="P254" s="173"/>
      <c r="Q254" s="116"/>
      <c r="R254" s="0" t="s">
        <v>98</v>
      </c>
      <c r="T254" s="0" t="n">
        <v>1</v>
      </c>
    </row>
    <row r="255" customFormat="false" ht="14.4" hidden="false" customHeight="false" outlineLevel="0" collapsed="false">
      <c r="A255" s="0" t="s">
        <v>1857</v>
      </c>
      <c r="B255" s="0" t="s">
        <v>1913</v>
      </c>
      <c r="C255" s="0" t="s">
        <v>305</v>
      </c>
      <c r="D255" s="0" t="n">
        <v>332</v>
      </c>
      <c r="E255" s="0" t="n">
        <v>2</v>
      </c>
      <c r="F255" s="114" t="n">
        <v>1</v>
      </c>
      <c r="G255" s="171" t="n">
        <f aca="false">Barrage[[#This Row],[Coefficient]]*Barrage[[#This Row],[Total Rounds]]*Barrage[[#This Row],[Base Damage]]</f>
        <v>664</v>
      </c>
      <c r="H255" s="183" t="s">
        <v>2704</v>
      </c>
      <c r="I255" s="114" t="n">
        <v>0.8</v>
      </c>
      <c r="J255" s="114" t="n">
        <v>0.95</v>
      </c>
      <c r="K255" s="114" t="n">
        <v>1.15</v>
      </c>
      <c r="L255" s="172"/>
      <c r="M255" s="173"/>
      <c r="N255" s="173"/>
      <c r="O255" s="173"/>
      <c r="P255" s="173"/>
      <c r="Q255" s="116"/>
      <c r="R255" s="0" t="s">
        <v>2705</v>
      </c>
      <c r="T255" s="0" t="n">
        <v>0.8</v>
      </c>
      <c r="U255" s="0" t="s">
        <v>2706</v>
      </c>
    </row>
    <row r="256" customFormat="false" ht="14.4" hidden="false" customHeight="false" outlineLevel="0" collapsed="false">
      <c r="A256" s="0" t="s">
        <v>1857</v>
      </c>
      <c r="B256" s="0" t="s">
        <v>1914</v>
      </c>
      <c r="C256" s="0" t="s">
        <v>305</v>
      </c>
      <c r="D256" s="0" t="n">
        <v>276</v>
      </c>
      <c r="E256" s="0" t="n">
        <v>2</v>
      </c>
      <c r="F256" s="114" t="n">
        <v>1</v>
      </c>
      <c r="G256" s="171" t="n">
        <f aca="false">Barrage[[#This Row],[Coefficient]]*Barrage[[#This Row],[Total Rounds]]*Barrage[[#This Row],[Base Damage]]</f>
        <v>552</v>
      </c>
      <c r="H256" s="183" t="s">
        <v>2704</v>
      </c>
      <c r="I256" s="114" t="n">
        <v>0.8</v>
      </c>
      <c r="J256" s="114" t="n">
        <v>0.85</v>
      </c>
      <c r="K256" s="114" t="n">
        <v>1</v>
      </c>
      <c r="L256" s="172"/>
      <c r="M256" s="173"/>
      <c r="N256" s="173"/>
      <c r="O256" s="173"/>
      <c r="P256" s="173"/>
      <c r="Q256" s="116"/>
      <c r="R256" s="0" t="s">
        <v>2705</v>
      </c>
      <c r="T256" s="0" t="n">
        <v>0.8</v>
      </c>
      <c r="U256" s="0" t="s">
        <v>2706</v>
      </c>
    </row>
    <row r="257" customFormat="false" ht="14.4" hidden="false" customHeight="false" outlineLevel="0" collapsed="false">
      <c r="A257" s="0" t="s">
        <v>325</v>
      </c>
      <c r="B257" s="0" t="s">
        <v>2494</v>
      </c>
      <c r="C257" s="0" t="s">
        <v>2493</v>
      </c>
      <c r="D257" s="0" t="n">
        <v>50</v>
      </c>
      <c r="E257" s="0" t="n">
        <v>7</v>
      </c>
      <c r="F257" s="114" t="n">
        <v>1</v>
      </c>
      <c r="G257" s="171" t="n">
        <f aca="false">Barrage[[#This Row],[Coefficient]]*Barrage[[#This Row],[Total Rounds]]*Barrage[[#This Row],[Base Damage]]</f>
        <v>350</v>
      </c>
      <c r="H257" s="183" t="s">
        <v>2621</v>
      </c>
      <c r="I257" s="114" t="n">
        <v>0.8</v>
      </c>
      <c r="J257" s="114" t="n">
        <v>1</v>
      </c>
      <c r="K257" s="114" t="n">
        <v>1.3</v>
      </c>
      <c r="L257" s="172"/>
      <c r="M257" s="184"/>
      <c r="N257" s="184"/>
      <c r="O257" s="184"/>
      <c r="P257" s="184"/>
      <c r="Q257" s="116"/>
      <c r="R257" s="0" t="s">
        <v>99</v>
      </c>
      <c r="T257" s="0" t="n">
        <v>1</v>
      </c>
    </row>
    <row r="258" customFormat="false" ht="14.4" hidden="false" customHeight="false" outlineLevel="0" collapsed="false">
      <c r="A258" s="0" t="s">
        <v>325</v>
      </c>
      <c r="B258" s="0" t="s">
        <v>2476</v>
      </c>
      <c r="C258" s="0" t="s">
        <v>326</v>
      </c>
      <c r="D258" s="0" t="n">
        <v>48</v>
      </c>
      <c r="E258" s="0" t="n">
        <v>6</v>
      </c>
      <c r="F258" s="114" t="n">
        <v>1</v>
      </c>
      <c r="G258" s="171" t="n">
        <f aca="false">Barrage[[#This Row],[Coefficient]]*Barrage[[#This Row],[Total Rounds]]*Barrage[[#This Row],[Base Damage]]</f>
        <v>288</v>
      </c>
      <c r="H258" s="174" t="s">
        <v>2725</v>
      </c>
      <c r="I258" s="114" t="n">
        <v>0.8</v>
      </c>
      <c r="J258" s="114" t="n">
        <v>1</v>
      </c>
      <c r="K258" s="114" t="n">
        <v>1.3</v>
      </c>
      <c r="L258" s="172"/>
      <c r="M258" s="184"/>
      <c r="N258" s="184"/>
      <c r="O258" s="184"/>
      <c r="P258" s="184"/>
      <c r="Q258" s="116"/>
      <c r="R258" s="0" t="s">
        <v>99</v>
      </c>
      <c r="T258" s="0" t="n">
        <v>1.2</v>
      </c>
      <c r="U258" s="0" t="s">
        <v>2726</v>
      </c>
    </row>
    <row r="259" customFormat="false" ht="14.4" hidden="false" customHeight="false" outlineLevel="0" collapsed="false">
      <c r="A259" s="0" t="s">
        <v>325</v>
      </c>
      <c r="B259" s="0" t="s">
        <v>2447</v>
      </c>
      <c r="C259" s="0" t="s">
        <v>2445</v>
      </c>
      <c r="D259" s="0" t="n">
        <v>40</v>
      </c>
      <c r="E259" s="0" t="n">
        <v>6</v>
      </c>
      <c r="F259" s="114" t="n">
        <v>1</v>
      </c>
      <c r="G259" s="171" t="n">
        <f aca="false">Barrage[[#This Row],[Coefficient]]*Barrage[[#This Row],[Total Rounds]]*Barrage[[#This Row],[Base Damage]]</f>
        <v>240</v>
      </c>
      <c r="H259" s="175" t="s">
        <v>2727</v>
      </c>
      <c r="I259" s="114" t="n">
        <v>0.8</v>
      </c>
      <c r="J259" s="114" t="n">
        <v>1</v>
      </c>
      <c r="K259" s="114" t="n">
        <v>1.3</v>
      </c>
      <c r="L259" s="172" t="n">
        <v>0.7</v>
      </c>
      <c r="M259" s="184" t="n">
        <v>2</v>
      </c>
      <c r="N259" s="184"/>
      <c r="O259" s="184"/>
      <c r="P259" s="184"/>
      <c r="Q259" s="116"/>
      <c r="R259" s="0" t="s">
        <v>99</v>
      </c>
      <c r="T259" s="0" t="n">
        <v>1</v>
      </c>
    </row>
    <row r="260" customFormat="false" ht="14.4" hidden="false" customHeight="false" outlineLevel="0" collapsed="false">
      <c r="A260" s="0" t="s">
        <v>325</v>
      </c>
      <c r="B260" s="0" t="s">
        <v>2513</v>
      </c>
      <c r="C260" s="0" t="s">
        <v>2512</v>
      </c>
      <c r="D260" s="0" t="n">
        <v>60</v>
      </c>
      <c r="E260" s="0" t="n">
        <v>9</v>
      </c>
      <c r="F260" s="114" t="n">
        <v>1</v>
      </c>
      <c r="G260" s="171" t="n">
        <f aca="false">Barrage[[#This Row],[Coefficient]]*Barrage[[#This Row],[Total Rounds]]*Barrage[[#This Row],[Base Damage]]</f>
        <v>540</v>
      </c>
      <c r="H260" s="0" t="s">
        <v>2621</v>
      </c>
      <c r="I260" s="114" t="n">
        <v>0.8</v>
      </c>
      <c r="J260" s="114" t="n">
        <v>1</v>
      </c>
      <c r="K260" s="114" t="n">
        <v>1.3</v>
      </c>
      <c r="L260" s="172"/>
      <c r="M260" s="173"/>
      <c r="N260" s="173"/>
      <c r="O260" s="173"/>
      <c r="P260" s="173"/>
      <c r="Q260" s="116"/>
      <c r="R260" s="0" t="s">
        <v>99</v>
      </c>
      <c r="T260" s="0" t="n">
        <v>1</v>
      </c>
    </row>
    <row r="261" customFormat="false" ht="14.4" hidden="false" customHeight="false" outlineLevel="0" collapsed="false">
      <c r="A261" s="0" t="s">
        <v>325</v>
      </c>
      <c r="B261" s="0" t="s">
        <v>2469</v>
      </c>
      <c r="C261" s="0" t="s">
        <v>2468</v>
      </c>
      <c r="D261" s="0" t="n">
        <v>60</v>
      </c>
      <c r="E261" s="0" t="n">
        <v>9</v>
      </c>
      <c r="F261" s="114" t="n">
        <v>1</v>
      </c>
      <c r="G261" s="171" t="n">
        <f aca="false">Barrage[[#This Row],[Coefficient]]*Barrage[[#This Row],[Total Rounds]]*Barrage[[#This Row],[Base Damage]]</f>
        <v>540</v>
      </c>
      <c r="H261" s="0" t="s">
        <v>2621</v>
      </c>
      <c r="I261" s="114" t="n">
        <v>0.8</v>
      </c>
      <c r="J261" s="114" t="n">
        <v>1</v>
      </c>
      <c r="K261" s="114" t="n">
        <v>1.3</v>
      </c>
      <c r="L261" s="172"/>
      <c r="M261" s="173"/>
      <c r="N261" s="173"/>
      <c r="O261" s="173"/>
      <c r="P261" s="173"/>
      <c r="Q261" s="116"/>
      <c r="R261" s="0" t="s">
        <v>99</v>
      </c>
      <c r="T261" s="0" t="n">
        <v>1</v>
      </c>
    </row>
    <row r="262" customFormat="false" ht="14.4" hidden="false" customHeight="false" outlineLevel="0" collapsed="false">
      <c r="A262" s="0" t="s">
        <v>325</v>
      </c>
      <c r="B262" s="0" t="s">
        <v>2537</v>
      </c>
      <c r="C262" s="0" t="s">
        <v>2536</v>
      </c>
      <c r="D262" s="0" t="n">
        <v>60</v>
      </c>
      <c r="E262" s="0" t="n">
        <v>6</v>
      </c>
      <c r="F262" s="114" t="n">
        <v>1</v>
      </c>
      <c r="G262" s="171" t="n">
        <f aca="false">Barrage[[#This Row],[Coefficient]]*Barrage[[#This Row],[Total Rounds]]*Barrage[[#This Row],[Base Damage]]</f>
        <v>360</v>
      </c>
      <c r="H262" s="0" t="s">
        <v>2621</v>
      </c>
      <c r="I262" s="114" t="n">
        <v>0.8</v>
      </c>
      <c r="J262" s="114" t="n">
        <v>1</v>
      </c>
      <c r="K262" s="114" t="n">
        <v>1.3</v>
      </c>
      <c r="L262" s="172"/>
      <c r="M262" s="173"/>
      <c r="N262" s="173"/>
      <c r="O262" s="173"/>
      <c r="P262" s="173"/>
      <c r="Q262" s="116"/>
      <c r="R262" s="0" t="s">
        <v>99</v>
      </c>
      <c r="T262" s="0" t="n">
        <v>1</v>
      </c>
    </row>
    <row r="263" customFormat="false" ht="14.4" hidden="false" customHeight="false" outlineLevel="0" collapsed="false">
      <c r="A263" s="0" t="s">
        <v>325</v>
      </c>
      <c r="B263" s="0" t="s">
        <v>2470</v>
      </c>
      <c r="C263" s="0" t="s">
        <v>2468</v>
      </c>
      <c r="D263" s="0" t="n">
        <v>60</v>
      </c>
      <c r="E263" s="0" t="n">
        <v>10</v>
      </c>
      <c r="F263" s="114" t="n">
        <v>1</v>
      </c>
      <c r="G263" s="171" t="n">
        <f aca="false">Barrage[[#This Row],[Coefficient]]*Barrage[[#This Row],[Total Rounds]]*Barrage[[#This Row],[Base Damage]]</f>
        <v>600</v>
      </c>
      <c r="H263" s="183" t="s">
        <v>2621</v>
      </c>
      <c r="I263" s="114" t="n">
        <v>0.8</v>
      </c>
      <c r="J263" s="114" t="n">
        <v>1</v>
      </c>
      <c r="K263" s="114" t="n">
        <v>1.3</v>
      </c>
      <c r="L263" s="172"/>
      <c r="M263" s="184"/>
      <c r="N263" s="184"/>
      <c r="O263" s="184"/>
      <c r="P263" s="184"/>
      <c r="Q263" s="116"/>
      <c r="R263" s="0" t="s">
        <v>99</v>
      </c>
      <c r="T263" s="0" t="n">
        <v>1</v>
      </c>
    </row>
    <row r="264" customFormat="false" ht="14.4" hidden="false" customHeight="false" outlineLevel="0" collapsed="false">
      <c r="A264" s="0" t="s">
        <v>325</v>
      </c>
      <c r="B264" s="0" t="s">
        <v>2482</v>
      </c>
      <c r="C264" s="0" t="s">
        <v>2480</v>
      </c>
      <c r="D264" s="0" t="n">
        <v>36</v>
      </c>
      <c r="E264" s="0" t="n">
        <v>12</v>
      </c>
      <c r="F264" s="114" t="n">
        <v>1</v>
      </c>
      <c r="G264" s="171" t="n">
        <f aca="false">Barrage[[#This Row],[Coefficient]]*Barrage[[#This Row],[Total Rounds]]*Barrage[[#This Row],[Base Damage]]</f>
        <v>432</v>
      </c>
      <c r="H264" s="183" t="s">
        <v>2621</v>
      </c>
      <c r="I264" s="114" t="n">
        <v>1</v>
      </c>
      <c r="J264" s="114" t="n">
        <v>1</v>
      </c>
      <c r="K264" s="114" t="n">
        <v>1</v>
      </c>
      <c r="L264" s="172"/>
      <c r="M264" s="184"/>
      <c r="N264" s="184"/>
      <c r="O264" s="184"/>
      <c r="P264" s="184"/>
      <c r="Q264" s="116"/>
      <c r="R264" s="0" t="s">
        <v>99</v>
      </c>
      <c r="T264" s="0" t="n">
        <v>1</v>
      </c>
    </row>
    <row r="265" customFormat="false" ht="14.4" hidden="false" customHeight="false" outlineLevel="0" collapsed="false">
      <c r="A265" s="0" t="s">
        <v>394</v>
      </c>
      <c r="B265" s="0" t="s">
        <v>1568</v>
      </c>
      <c r="C265" s="0" t="s">
        <v>2728</v>
      </c>
      <c r="D265" s="0" t="n">
        <v>42</v>
      </c>
      <c r="E265" s="0" t="n">
        <v>6</v>
      </c>
      <c r="F265" s="114" t="n">
        <v>1</v>
      </c>
      <c r="G265" s="171" t="n">
        <f aca="false">Barrage[[#This Row],[Coefficient]]*Barrage[[#This Row],[Total Rounds]]*Barrage[[#This Row],[Base Damage]]</f>
        <v>252</v>
      </c>
      <c r="H265" s="174" t="s">
        <v>2611</v>
      </c>
      <c r="I265" s="114" t="n">
        <v>0.85</v>
      </c>
      <c r="J265" s="114" t="n">
        <v>1.2</v>
      </c>
      <c r="K265" s="114" t="n">
        <v>0.85</v>
      </c>
      <c r="L265" s="172"/>
      <c r="M265" s="184"/>
      <c r="N265" s="184"/>
      <c r="O265" s="184"/>
      <c r="P265" s="184"/>
      <c r="Q265" s="116"/>
      <c r="R265" s="0" t="s">
        <v>98</v>
      </c>
      <c r="T265" s="0" t="n">
        <v>1</v>
      </c>
    </row>
    <row r="266" customFormat="false" ht="14.4" hidden="false" customHeight="false" outlineLevel="0" collapsed="false">
      <c r="A266" s="0" t="s">
        <v>114</v>
      </c>
      <c r="B266" s="0" t="s">
        <v>1788</v>
      </c>
      <c r="C266" s="0" t="s">
        <v>1787</v>
      </c>
      <c r="D266" s="0" t="n">
        <v>170</v>
      </c>
      <c r="E266" s="0" t="n">
        <v>9</v>
      </c>
      <c r="F266" s="114" t="n">
        <v>1</v>
      </c>
      <c r="G266" s="171" t="n">
        <f aca="false">Barrage[[#This Row],[Coefficient]]*Barrage[[#This Row],[Total Rounds]]*Barrage[[#This Row],[Base Damage]]</f>
        <v>1530</v>
      </c>
      <c r="H266" s="174" t="s">
        <v>2611</v>
      </c>
      <c r="I266" s="114" t="n">
        <v>0.5</v>
      </c>
      <c r="J266" s="114" t="n">
        <v>1.2</v>
      </c>
      <c r="K266" s="114" t="n">
        <v>1.15</v>
      </c>
      <c r="L266" s="172"/>
      <c r="M266" s="184"/>
      <c r="N266" s="184"/>
      <c r="O266" s="184"/>
      <c r="P266" s="184"/>
      <c r="Q266" s="116"/>
      <c r="R266" s="0" t="s">
        <v>98</v>
      </c>
      <c r="T266" s="0" t="n">
        <v>1</v>
      </c>
    </row>
    <row r="267" customFormat="false" ht="14.4" hidden="false" customHeight="false" outlineLevel="0" collapsed="false">
      <c r="A267" s="0" t="s">
        <v>114</v>
      </c>
      <c r="B267" s="0" t="s">
        <v>1789</v>
      </c>
      <c r="C267" s="0" t="s">
        <v>1787</v>
      </c>
      <c r="D267" s="0" t="n">
        <v>20</v>
      </c>
      <c r="E267" s="0" t="n">
        <v>30</v>
      </c>
      <c r="F267" s="114" t="n">
        <v>1</v>
      </c>
      <c r="G267" s="171" t="n">
        <f aca="false">Barrage[[#This Row],[Coefficient]]*Barrage[[#This Row],[Total Rounds]]*Barrage[[#This Row],[Base Damage]]</f>
        <v>600</v>
      </c>
      <c r="H267" s="175" t="s">
        <v>2612</v>
      </c>
      <c r="I267" s="114" t="n">
        <v>1.2</v>
      </c>
      <c r="J267" s="114" t="n">
        <v>0.6</v>
      </c>
      <c r="K267" s="114" t="n">
        <v>0.6</v>
      </c>
      <c r="L267" s="172"/>
      <c r="M267" s="184"/>
      <c r="N267" s="184"/>
      <c r="O267" s="184"/>
      <c r="P267" s="184"/>
      <c r="Q267" s="116"/>
      <c r="R267" s="0" t="s">
        <v>98</v>
      </c>
      <c r="T267" s="0" t="n">
        <v>1</v>
      </c>
    </row>
    <row r="268" customFormat="false" ht="14.4" hidden="false" customHeight="false" outlineLevel="0" collapsed="false">
      <c r="A268" s="0" t="s">
        <v>325</v>
      </c>
      <c r="B268" s="0" t="s">
        <v>2455</v>
      </c>
      <c r="C268" s="0" t="s">
        <v>2454</v>
      </c>
      <c r="D268" s="0" t="n">
        <v>36</v>
      </c>
      <c r="E268" s="0" t="n">
        <v>7</v>
      </c>
      <c r="F268" s="114" t="n">
        <v>1</v>
      </c>
      <c r="G268" s="171" t="n">
        <f aca="false">Barrage[[#This Row],[Coefficient]]*Barrage[[#This Row],[Total Rounds]]*Barrage[[#This Row],[Base Damage]]</f>
        <v>252</v>
      </c>
      <c r="H268" s="183" t="s">
        <v>2621</v>
      </c>
      <c r="I268" s="114" t="n">
        <v>0.8</v>
      </c>
      <c r="J268" s="114" t="n">
        <v>1</v>
      </c>
      <c r="K268" s="114" t="n">
        <v>1.3</v>
      </c>
      <c r="L268" s="172"/>
      <c r="M268" s="184"/>
      <c r="N268" s="184"/>
      <c r="O268" s="184"/>
      <c r="P268" s="184"/>
      <c r="Q268" s="116"/>
      <c r="R268" s="0" t="s">
        <v>99</v>
      </c>
      <c r="T268" s="0" t="n">
        <v>1</v>
      </c>
    </row>
    <row r="269" customFormat="false" ht="14.4" hidden="false" customHeight="false" outlineLevel="0" collapsed="false">
      <c r="A269" s="0" t="s">
        <v>242</v>
      </c>
      <c r="B269" s="0" t="s">
        <v>2341</v>
      </c>
      <c r="C269" s="0" t="s">
        <v>2340</v>
      </c>
      <c r="D269" s="0" t="n">
        <v>380</v>
      </c>
      <c r="E269" s="0" t="n">
        <v>6</v>
      </c>
      <c r="F269" s="114" t="n">
        <v>1</v>
      </c>
      <c r="G269" s="171" t="n">
        <f aca="false">Barrage[[#This Row],[Coefficient]]*Barrage[[#This Row],[Total Rounds]]*Barrage[[#This Row],[Base Damage]]</f>
        <v>2280</v>
      </c>
      <c r="H269" s="0" t="s">
        <v>2704</v>
      </c>
      <c r="I269" s="114" t="n">
        <v>0.8</v>
      </c>
      <c r="J269" s="114" t="n">
        <v>0.9</v>
      </c>
      <c r="K269" s="114" t="n">
        <v>1.1</v>
      </c>
      <c r="L269" s="172"/>
      <c r="M269" s="184"/>
      <c r="N269" s="184"/>
      <c r="O269" s="184"/>
      <c r="P269" s="184"/>
      <c r="Q269" s="116"/>
      <c r="R269" s="0" t="s">
        <v>2705</v>
      </c>
      <c r="T269" s="0" t="n">
        <v>0.8</v>
      </c>
      <c r="U269" s="0" t="s">
        <v>2729</v>
      </c>
    </row>
    <row r="270" customFormat="false" ht="14.4" hidden="false" customHeight="false" outlineLevel="0" collapsed="false">
      <c r="A270" s="0" t="s">
        <v>121</v>
      </c>
      <c r="B270" s="0" t="s">
        <v>1188</v>
      </c>
      <c r="C270" s="0" t="s">
        <v>1187</v>
      </c>
      <c r="D270" s="0" t="n">
        <v>22</v>
      </c>
      <c r="E270" s="0" t="n">
        <v>16</v>
      </c>
      <c r="F270" s="114" t="n">
        <v>1.25</v>
      </c>
      <c r="G270" s="171" t="n">
        <f aca="false">Barrage[[#This Row],[Coefficient]]*Barrage[[#This Row],[Total Rounds]]*Barrage[[#This Row],[Base Damage]]</f>
        <v>440</v>
      </c>
      <c r="H270" s="0" t="s">
        <v>2602</v>
      </c>
      <c r="I270" s="114" t="n">
        <v>1</v>
      </c>
      <c r="J270" s="114" t="n">
        <v>0.8</v>
      </c>
      <c r="K270" s="114" t="n">
        <v>0.6</v>
      </c>
      <c r="L270" s="172"/>
      <c r="M270" s="173"/>
      <c r="N270" s="116"/>
      <c r="P270" s="184"/>
      <c r="Q270" s="116"/>
      <c r="R270" s="0" t="s">
        <v>98</v>
      </c>
      <c r="T270" s="0" t="n">
        <v>1</v>
      </c>
    </row>
    <row r="271" customFormat="false" ht="14.4" hidden="false" customHeight="false" outlineLevel="0" collapsed="false">
      <c r="A271" s="0" t="s">
        <v>2123</v>
      </c>
      <c r="B271" s="0" t="s">
        <v>2176</v>
      </c>
      <c r="C271" s="0" t="s">
        <v>2175</v>
      </c>
      <c r="D271" s="0" t="n">
        <v>240</v>
      </c>
      <c r="E271" s="0" t="n">
        <v>12</v>
      </c>
      <c r="F271" s="114" t="n">
        <v>1</v>
      </c>
      <c r="G271" s="171" t="n">
        <f aca="false">Barrage[[#This Row],[Coefficient]]*Barrage[[#This Row],[Total Rounds]]*Barrage[[#This Row],[Base Damage]]</f>
        <v>2880</v>
      </c>
      <c r="H271" s="0" t="s">
        <v>2707</v>
      </c>
      <c r="I271" s="114" t="n">
        <v>0.8</v>
      </c>
      <c r="J271" s="114" t="n">
        <v>1.1</v>
      </c>
      <c r="K271" s="114" t="n">
        <v>1.3</v>
      </c>
      <c r="L271" s="172"/>
      <c r="M271" s="184"/>
      <c r="N271" s="184"/>
      <c r="O271" s="188" t="n">
        <v>0.8</v>
      </c>
      <c r="P271" s="189" t="n">
        <v>0.2</v>
      </c>
      <c r="Q271" s="116"/>
      <c r="R271" s="0" t="s">
        <v>2705</v>
      </c>
      <c r="T271" s="0" t="n">
        <v>1.2</v>
      </c>
    </row>
    <row r="272" customFormat="false" ht="14.4" hidden="false" customHeight="false" outlineLevel="0" collapsed="false">
      <c r="A272" s="0" t="s">
        <v>114</v>
      </c>
      <c r="B272" s="154" t="s">
        <v>1828</v>
      </c>
      <c r="C272" s="0" t="s">
        <v>2730</v>
      </c>
      <c r="D272" s="0" t="n">
        <v>96</v>
      </c>
      <c r="E272" s="0" t="n">
        <v>6</v>
      </c>
      <c r="F272" s="114" t="n">
        <v>1</v>
      </c>
      <c r="G272" s="171" t="n">
        <f aca="false">Barrage[[#This Row],[Coefficient]]*Barrage[[#This Row],[Total Rounds]]*Barrage[[#This Row],[Base Damage]]</f>
        <v>576</v>
      </c>
      <c r="H272" s="0" t="s">
        <v>2621</v>
      </c>
      <c r="I272" s="114" t="n">
        <v>0.8</v>
      </c>
      <c r="J272" s="114" t="n">
        <v>1.1</v>
      </c>
      <c r="K272" s="114" t="n">
        <v>1.3</v>
      </c>
      <c r="L272" s="172"/>
      <c r="M272" s="184"/>
      <c r="N272" s="184"/>
      <c r="O272" s="184"/>
      <c r="P272" s="184"/>
      <c r="Q272" s="116"/>
      <c r="R272" s="0" t="s">
        <v>99</v>
      </c>
      <c r="T272" s="0" t="n">
        <v>1</v>
      </c>
    </row>
    <row r="273" customFormat="false" ht="14.4" hidden="false" customHeight="false" outlineLevel="0" collapsed="false">
      <c r="A273" s="0" t="s">
        <v>114</v>
      </c>
      <c r="B273" s="154" t="s">
        <v>1887</v>
      </c>
      <c r="C273" s="0" t="s">
        <v>1886</v>
      </c>
      <c r="D273" s="0" t="n">
        <v>140</v>
      </c>
      <c r="E273" s="0" t="n">
        <v>10</v>
      </c>
      <c r="F273" s="114" t="n">
        <v>1</v>
      </c>
      <c r="G273" s="171" t="n">
        <f aca="false">Barrage[[#This Row],[Coefficient]]*Barrage[[#This Row],[Total Rounds]]*Barrage[[#This Row],[Base Damage]]</f>
        <v>1400</v>
      </c>
      <c r="H273" s="175" t="s">
        <v>2612</v>
      </c>
      <c r="I273" s="114" t="n">
        <v>1.35</v>
      </c>
      <c r="J273" s="114" t="n">
        <v>0.85</v>
      </c>
      <c r="K273" s="114" t="n">
        <v>0.7</v>
      </c>
      <c r="L273" s="172" t="n">
        <v>0.3</v>
      </c>
      <c r="M273" s="184" t="n">
        <v>1</v>
      </c>
      <c r="N273" s="184"/>
      <c r="O273" s="184"/>
      <c r="P273" s="184"/>
      <c r="Q273" s="116"/>
      <c r="R273" s="0" t="s">
        <v>98</v>
      </c>
      <c r="T273" s="0" t="n">
        <v>1</v>
      </c>
    </row>
    <row r="274" customFormat="false" ht="14.4" hidden="false" customHeight="false" outlineLevel="0" collapsed="false">
      <c r="A274" s="0" t="s">
        <v>114</v>
      </c>
      <c r="B274" s="0" t="s">
        <v>1888</v>
      </c>
      <c r="C274" s="0" t="s">
        <v>1886</v>
      </c>
      <c r="D274" s="0" t="n">
        <v>30</v>
      </c>
      <c r="E274" s="0" t="n">
        <v>14</v>
      </c>
      <c r="F274" s="114" t="n">
        <v>1</v>
      </c>
      <c r="G274" s="171" t="n">
        <f aca="false">Barrage[[#This Row],[Coefficient]]*Barrage[[#This Row],[Total Rounds]]*Barrage[[#This Row],[Base Damage]]</f>
        <v>420</v>
      </c>
      <c r="H274" s="0" t="s">
        <v>2602</v>
      </c>
      <c r="I274" s="114" t="n">
        <v>1</v>
      </c>
      <c r="J274" s="114" t="n">
        <v>0.8</v>
      </c>
      <c r="K274" s="114" t="n">
        <v>0.7</v>
      </c>
      <c r="L274" s="172"/>
      <c r="M274" s="184"/>
      <c r="N274" s="184"/>
      <c r="O274" s="184"/>
      <c r="P274" s="184"/>
      <c r="Q274" s="116"/>
      <c r="R274" s="0" t="s">
        <v>98</v>
      </c>
      <c r="T274" s="0" t="n">
        <v>1</v>
      </c>
    </row>
    <row r="275" customFormat="false" ht="14.4" hidden="false" customHeight="false" outlineLevel="0" collapsed="false">
      <c r="A275" s="0" t="s">
        <v>114</v>
      </c>
      <c r="B275" s="154" t="s">
        <v>1967</v>
      </c>
      <c r="C275" s="0" t="s">
        <v>1966</v>
      </c>
      <c r="D275" s="0" t="n">
        <v>174</v>
      </c>
      <c r="E275" s="0" t="n">
        <v>6</v>
      </c>
      <c r="F275" s="114" t="n">
        <v>1</v>
      </c>
      <c r="G275" s="171" t="n">
        <f aca="false">Barrage[[#This Row],[Coefficient]]*Barrage[[#This Row],[Total Rounds]]*Barrage[[#This Row],[Base Damage]]</f>
        <v>1044</v>
      </c>
      <c r="H275" s="174" t="s">
        <v>2611</v>
      </c>
      <c r="I275" s="114" t="n">
        <v>0.4</v>
      </c>
      <c r="J275" s="114" t="n">
        <v>1.25</v>
      </c>
      <c r="K275" s="114" t="n">
        <v>1.25</v>
      </c>
      <c r="L275" s="172"/>
      <c r="M275" s="184"/>
      <c r="N275" s="184"/>
      <c r="O275" s="184"/>
      <c r="P275" s="184"/>
      <c r="Q275" s="116"/>
      <c r="R275" s="0" t="s">
        <v>98</v>
      </c>
      <c r="T275" s="0" t="n">
        <v>1</v>
      </c>
    </row>
    <row r="276" customFormat="false" ht="14.4" hidden="false" customHeight="false" outlineLevel="0" collapsed="false">
      <c r="A276" s="0" t="s">
        <v>114</v>
      </c>
      <c r="B276" s="154" t="s">
        <v>1968</v>
      </c>
      <c r="C276" s="0" t="s">
        <v>1966</v>
      </c>
      <c r="D276" s="0" t="n">
        <v>174</v>
      </c>
      <c r="E276" s="0" t="n">
        <v>9</v>
      </c>
      <c r="F276" s="114" t="n">
        <v>1</v>
      </c>
      <c r="G276" s="171" t="n">
        <f aca="false">Barrage[[#This Row],[Coefficient]]*Barrage[[#This Row],[Total Rounds]]*Barrage[[#This Row],[Base Damage]]</f>
        <v>1566</v>
      </c>
      <c r="H276" s="174" t="s">
        <v>2611</v>
      </c>
      <c r="I276" s="114" t="n">
        <v>0.4</v>
      </c>
      <c r="J276" s="114" t="n">
        <v>1.25</v>
      </c>
      <c r="K276" s="114" t="n">
        <v>1.25</v>
      </c>
      <c r="L276" s="172"/>
      <c r="M276" s="184"/>
      <c r="N276" s="184"/>
      <c r="O276" s="184"/>
      <c r="P276" s="184"/>
      <c r="Q276" s="116"/>
      <c r="R276" s="0" t="s">
        <v>98</v>
      </c>
      <c r="T276" s="0" t="n">
        <v>1</v>
      </c>
    </row>
    <row r="277" customFormat="false" ht="14.4" hidden="false" customHeight="false" outlineLevel="0" collapsed="false">
      <c r="A277" s="0" t="s">
        <v>114</v>
      </c>
      <c r="B277" s="154" t="s">
        <v>1969</v>
      </c>
      <c r="C277" s="0" t="s">
        <v>1966</v>
      </c>
      <c r="D277" s="0" t="n">
        <v>20</v>
      </c>
      <c r="E277" s="0" t="n">
        <v>20</v>
      </c>
      <c r="F277" s="114" t="n">
        <v>1</v>
      </c>
      <c r="G277" s="171" t="n">
        <f aca="false">Barrage[[#This Row],[Coefficient]]*Barrage[[#This Row],[Total Rounds]]*Barrage[[#This Row],[Base Damage]]</f>
        <v>400</v>
      </c>
      <c r="H277" s="175" t="s">
        <v>2612</v>
      </c>
      <c r="I277" s="114" t="n">
        <v>1.2</v>
      </c>
      <c r="J277" s="114" t="n">
        <v>0.6</v>
      </c>
      <c r="K277" s="114" t="n">
        <v>0.6</v>
      </c>
      <c r="L277" s="172" t="n">
        <v>0.01</v>
      </c>
      <c r="M277" s="184" t="n">
        <v>1</v>
      </c>
      <c r="N277" s="184"/>
      <c r="O277" s="184"/>
      <c r="P277" s="184"/>
      <c r="Q277" s="116"/>
      <c r="R277" s="0" t="s">
        <v>98</v>
      </c>
      <c r="T277" s="0" t="n">
        <v>1</v>
      </c>
    </row>
    <row r="278" customFormat="false" ht="14.4" hidden="false" customHeight="false" outlineLevel="0" collapsed="false">
      <c r="A278" s="0" t="s">
        <v>394</v>
      </c>
      <c r="B278" s="0" t="s">
        <v>1770</v>
      </c>
      <c r="C278" s="0" t="s">
        <v>1769</v>
      </c>
      <c r="D278" s="0" t="n">
        <v>40</v>
      </c>
      <c r="E278" s="0" t="n">
        <v>6</v>
      </c>
      <c r="F278" s="114" t="n">
        <v>1</v>
      </c>
      <c r="G278" s="171" t="n">
        <f aca="false">Barrage[[#This Row],[Coefficient]]*Barrage[[#This Row],[Total Rounds]]*Barrage[[#This Row],[Base Damage]]</f>
        <v>240</v>
      </c>
      <c r="H278" s="190" t="s">
        <v>2731</v>
      </c>
      <c r="I278" s="114" t="n">
        <v>0.65</v>
      </c>
      <c r="J278" s="114" t="n">
        <v>1.25</v>
      </c>
      <c r="K278" s="114" t="n">
        <v>0.65</v>
      </c>
      <c r="L278" s="172"/>
      <c r="M278" s="184"/>
      <c r="N278" s="184"/>
      <c r="O278" s="184"/>
      <c r="P278" s="184"/>
      <c r="Q278" s="116" t="n">
        <v>1</v>
      </c>
      <c r="R278" s="0" t="s">
        <v>98</v>
      </c>
      <c r="T278" s="0" t="n">
        <v>1</v>
      </c>
    </row>
    <row r="279" customFormat="false" ht="14.4" hidden="false" customHeight="false" outlineLevel="0" collapsed="false">
      <c r="A279" s="0" t="s">
        <v>74</v>
      </c>
      <c r="B279" s="0" t="s">
        <v>572</v>
      </c>
      <c r="C279" s="0" t="s">
        <v>570</v>
      </c>
      <c r="D279" s="0" t="n">
        <v>12</v>
      </c>
      <c r="E279" s="0" t="n">
        <v>20</v>
      </c>
      <c r="F279" s="114" t="n">
        <v>1</v>
      </c>
      <c r="G279" s="171" t="n">
        <f aca="false">Barrage[[#This Row],[Coefficient]]*Barrage[[#This Row],[Total Rounds]]*Barrage[[#This Row],[Base Damage]]</f>
        <v>240</v>
      </c>
      <c r="H279" s="0" t="s">
        <v>2602</v>
      </c>
      <c r="I279" s="114" t="n">
        <v>1</v>
      </c>
      <c r="J279" s="114" t="n">
        <v>0.8</v>
      </c>
      <c r="K279" s="114" t="n">
        <v>0.6</v>
      </c>
      <c r="L279" s="172"/>
      <c r="M279" s="184"/>
      <c r="N279" s="184"/>
      <c r="O279" s="184"/>
      <c r="P279" s="184"/>
      <c r="Q279" s="116"/>
      <c r="R279" s="0" t="s">
        <v>98</v>
      </c>
      <c r="T279" s="0" t="n">
        <v>1</v>
      </c>
    </row>
    <row r="280" customFormat="false" ht="14.4" hidden="false" customHeight="false" outlineLevel="0" collapsed="false">
      <c r="A280" s="0" t="s">
        <v>394</v>
      </c>
      <c r="B280" s="154" t="s">
        <v>1757</v>
      </c>
      <c r="C280" s="0" t="s">
        <v>1756</v>
      </c>
      <c r="D280" s="0" t="n">
        <v>38</v>
      </c>
      <c r="E280" s="0" t="n">
        <v>6</v>
      </c>
      <c r="F280" s="114" t="n">
        <v>1</v>
      </c>
      <c r="G280" s="171" t="n">
        <f aca="false">Barrage[[#This Row],[Coefficient]]*Barrage[[#This Row],[Total Rounds]]*Barrage[[#This Row],[Base Damage]]</f>
        <v>228</v>
      </c>
      <c r="H280" s="0" t="s">
        <v>2602</v>
      </c>
      <c r="I280" s="114" t="n">
        <v>1</v>
      </c>
      <c r="J280" s="114" t="n">
        <v>0.8</v>
      </c>
      <c r="K280" s="114" t="n">
        <v>0.6</v>
      </c>
      <c r="L280" s="172"/>
      <c r="M280" s="184"/>
      <c r="N280" s="184"/>
      <c r="O280" s="184"/>
      <c r="P280" s="184"/>
      <c r="Q280" s="116"/>
      <c r="R280" s="0" t="s">
        <v>98</v>
      </c>
      <c r="T280" s="0" t="n">
        <v>1</v>
      </c>
    </row>
    <row r="281" customFormat="false" ht="14.4" hidden="false" customHeight="false" outlineLevel="0" collapsed="false">
      <c r="A281" s="0" t="s">
        <v>74</v>
      </c>
      <c r="B281" s="0" t="s">
        <v>964</v>
      </c>
      <c r="C281" s="0" t="s">
        <v>963</v>
      </c>
      <c r="D281" s="0" t="n">
        <v>134</v>
      </c>
      <c r="E281" s="0" t="n">
        <v>6</v>
      </c>
      <c r="F281" s="114" t="n">
        <v>1</v>
      </c>
      <c r="G281" s="171" t="n">
        <f aca="false">Barrage[[#This Row],[Coefficient]]*Barrage[[#This Row],[Total Rounds]]*Barrage[[#This Row],[Base Damage]]</f>
        <v>804</v>
      </c>
      <c r="H281" s="0" t="s">
        <v>2621</v>
      </c>
      <c r="I281" s="114" t="n">
        <v>0.8</v>
      </c>
      <c r="J281" s="114" t="n">
        <v>1</v>
      </c>
      <c r="K281" s="114" t="n">
        <v>1.3</v>
      </c>
      <c r="L281" s="172"/>
      <c r="M281" s="184"/>
      <c r="N281" s="184"/>
      <c r="O281" s="184"/>
      <c r="P281" s="184"/>
      <c r="Q281" s="116"/>
      <c r="R281" s="0" t="s">
        <v>99</v>
      </c>
      <c r="T281" s="0" t="n">
        <v>1</v>
      </c>
    </row>
    <row r="282" customFormat="false" ht="14.4" hidden="false" customHeight="false" outlineLevel="0" collapsed="false">
      <c r="A282" s="0" t="s">
        <v>74</v>
      </c>
      <c r="B282" s="0" t="s">
        <v>499</v>
      </c>
      <c r="C282" s="0" t="s">
        <v>2627</v>
      </c>
      <c r="D282" s="0" t="n">
        <v>18</v>
      </c>
      <c r="E282" s="0" t="n">
        <v>20</v>
      </c>
      <c r="F282" s="114" t="n">
        <v>1.25</v>
      </c>
      <c r="G282" s="171" t="n">
        <f aca="false">Barrage[[#This Row],[Coefficient]]*Barrage[[#This Row],[Total Rounds]]*Barrage[[#This Row],[Base Damage]]</f>
        <v>450</v>
      </c>
      <c r="H282" s="0" t="s">
        <v>2602</v>
      </c>
      <c r="I282" s="114" t="n">
        <v>1.3</v>
      </c>
      <c r="J282" s="114" t="n">
        <v>0.9</v>
      </c>
      <c r="K282" s="114" t="n">
        <v>0.6</v>
      </c>
      <c r="L282" s="172"/>
      <c r="M282" s="184"/>
      <c r="N282" s="184"/>
      <c r="O282" s="184"/>
      <c r="P282" s="184"/>
      <c r="Q282" s="116"/>
      <c r="R282" s="0" t="s">
        <v>98</v>
      </c>
      <c r="T282" s="0" t="n">
        <v>1</v>
      </c>
      <c r="U282" s="0" t="s">
        <v>2732</v>
      </c>
    </row>
    <row r="283" customFormat="false" ht="14.4" hidden="false" customHeight="false" outlineLevel="0" collapsed="false">
      <c r="A283" s="0" t="s">
        <v>325</v>
      </c>
      <c r="B283" s="0" t="s">
        <v>2520</v>
      </c>
      <c r="C283" s="0" t="s">
        <v>2519</v>
      </c>
      <c r="D283" s="0" t="n">
        <v>60</v>
      </c>
      <c r="E283" s="0" t="n">
        <v>6</v>
      </c>
      <c r="F283" s="114" t="n">
        <v>1</v>
      </c>
      <c r="G283" s="171" t="n">
        <f aca="false">Barrage[[#This Row],[Coefficient]]*Barrage[[#This Row],[Total Rounds]]*Barrage[[#This Row],[Base Damage]]</f>
        <v>360</v>
      </c>
      <c r="H283" s="0" t="s">
        <v>2621</v>
      </c>
      <c r="I283" s="114" t="n">
        <v>0.8</v>
      </c>
      <c r="J283" s="114" t="n">
        <v>1</v>
      </c>
      <c r="K283" s="114" t="n">
        <v>1.3</v>
      </c>
      <c r="L283" s="172"/>
      <c r="M283" s="184"/>
      <c r="N283" s="184"/>
      <c r="O283" s="184"/>
      <c r="P283" s="184"/>
      <c r="Q283" s="116"/>
      <c r="R283" s="0" t="s">
        <v>99</v>
      </c>
      <c r="T283" s="0" t="n">
        <v>1</v>
      </c>
    </row>
    <row r="284" customFormat="false" ht="14.4" hidden="false" customHeight="false" outlineLevel="0" collapsed="false">
      <c r="A284" s="0" t="s">
        <v>121</v>
      </c>
      <c r="B284" s="0" t="s">
        <v>1205</v>
      </c>
      <c r="C284" s="0" t="s">
        <v>1204</v>
      </c>
      <c r="D284" s="0" t="n">
        <v>15</v>
      </c>
      <c r="E284" s="0" t="n">
        <v>24</v>
      </c>
      <c r="F284" s="114" t="n">
        <v>1.25</v>
      </c>
      <c r="G284" s="171" t="n">
        <f aca="false">Barrage[[#This Row],[Coefficient]]*Barrage[[#This Row],[Total Rounds]]*Barrage[[#This Row],[Base Damage]]</f>
        <v>450</v>
      </c>
      <c r="H284" s="174" t="s">
        <v>2733</v>
      </c>
      <c r="I284" s="114" t="n">
        <v>1.2</v>
      </c>
      <c r="J284" s="114" t="n">
        <v>1.2</v>
      </c>
      <c r="K284" s="114" t="n">
        <v>0.9</v>
      </c>
      <c r="L284" s="172"/>
      <c r="M284" s="173"/>
      <c r="N284" s="173" t="n">
        <v>1</v>
      </c>
      <c r="O284" s="184"/>
      <c r="P284" s="184"/>
      <c r="Q284" s="116"/>
      <c r="R284" s="0" t="s">
        <v>98</v>
      </c>
      <c r="T284" s="0" t="n">
        <v>1</v>
      </c>
    </row>
    <row r="285" customFormat="false" ht="14.4" hidden="false" customHeight="false" outlineLevel="0" collapsed="false">
      <c r="A285" s="0" t="s">
        <v>121</v>
      </c>
      <c r="B285" s="0" t="s">
        <v>1469</v>
      </c>
      <c r="C285" s="0" t="s">
        <v>1468</v>
      </c>
      <c r="D285" s="0" t="n">
        <v>20</v>
      </c>
      <c r="E285" s="0" t="n">
        <v>24</v>
      </c>
      <c r="F285" s="114" t="n">
        <v>1.25</v>
      </c>
      <c r="G285" s="171" t="n">
        <f aca="false">Barrage[[#This Row],[Coefficient]]*Barrage[[#This Row],[Total Rounds]]*Barrage[[#This Row],[Base Damage]]</f>
        <v>600</v>
      </c>
      <c r="H285" s="190" t="s">
        <v>2734</v>
      </c>
      <c r="I285" s="114" t="n">
        <v>1.2</v>
      </c>
      <c r="J285" s="114" t="n">
        <v>1.2</v>
      </c>
      <c r="K285" s="114" t="n">
        <v>1</v>
      </c>
      <c r="L285" s="172"/>
      <c r="M285" s="173"/>
      <c r="N285" s="173"/>
      <c r="O285" s="184"/>
      <c r="P285" s="184"/>
      <c r="Q285" s="116"/>
      <c r="R285" s="0" t="s">
        <v>98</v>
      </c>
      <c r="T285" s="0" t="n">
        <v>1</v>
      </c>
    </row>
    <row r="286" customFormat="false" ht="14.4" hidden="false" customHeight="false" outlineLevel="0" collapsed="false">
      <c r="A286" s="0" t="s">
        <v>121</v>
      </c>
      <c r="B286" s="0" t="s">
        <v>1206</v>
      </c>
      <c r="F286" s="114"/>
      <c r="G286" s="171" t="n">
        <f aca="false">Barrage[[#This Row],[Coefficient]]*Barrage[[#This Row],[Total Rounds]]*Barrage[[#This Row],[Base Damage]]</f>
        <v>0</v>
      </c>
      <c r="I286" s="114" t="n">
        <v>1.2</v>
      </c>
      <c r="J286" s="114" t="n">
        <v>1.2</v>
      </c>
      <c r="K286" s="114" t="n">
        <v>1</v>
      </c>
      <c r="L286" s="172"/>
      <c r="M286" s="184"/>
      <c r="N286" s="184"/>
      <c r="O286" s="184"/>
      <c r="P286" s="184"/>
      <c r="Q286" s="116"/>
      <c r="R286" s="0" t="s">
        <v>98</v>
      </c>
    </row>
    <row r="287" customFormat="false" ht="14.4" hidden="false" customHeight="false" outlineLevel="0" collapsed="false">
      <c r="A287" s="0" t="s">
        <v>121</v>
      </c>
      <c r="B287" s="0" t="s">
        <v>1470</v>
      </c>
      <c r="F287" s="114"/>
      <c r="G287" s="171" t="n">
        <f aca="false">Barrage[[#This Row],[Coefficient]]*Barrage[[#This Row],[Total Rounds]]*Barrage[[#This Row],[Base Damage]]</f>
        <v>0</v>
      </c>
      <c r="I287" s="114" t="n">
        <v>1.2</v>
      </c>
      <c r="J287" s="114" t="n">
        <v>1.2</v>
      </c>
      <c r="K287" s="114" t="n">
        <v>0.9</v>
      </c>
      <c r="L287" s="172"/>
      <c r="M287" s="184"/>
      <c r="N287" s="184"/>
      <c r="O287" s="184"/>
      <c r="P287" s="184"/>
      <c r="Q287" s="116"/>
      <c r="R287" s="0" t="s">
        <v>98</v>
      </c>
    </row>
    <row r="288" customFormat="false" ht="14.4" hidden="false" customHeight="false" outlineLevel="0" collapsed="false">
      <c r="A288" s="0" t="s">
        <v>394</v>
      </c>
      <c r="B288" s="0" t="s">
        <v>1527</v>
      </c>
      <c r="F288" s="114"/>
      <c r="G288" s="171" t="n">
        <f aca="false">Barrage[[#This Row],[Coefficient]]*Barrage[[#This Row],[Total Rounds]]*Barrage[[#This Row],[Base Damage]]</f>
        <v>0</v>
      </c>
      <c r="I288" s="114" t="n">
        <v>1.1</v>
      </c>
      <c r="J288" s="114" t="n">
        <v>1.2</v>
      </c>
      <c r="K288" s="114" t="n">
        <v>1</v>
      </c>
      <c r="L288" s="172"/>
      <c r="M288" s="184"/>
      <c r="N288" s="184"/>
      <c r="O288" s="184"/>
      <c r="P288" s="184"/>
      <c r="Q288" s="116"/>
      <c r="R288" s="0" t="s">
        <v>98</v>
      </c>
    </row>
    <row r="289" customFormat="false" ht="14.4" hidden="false" customHeight="false" outlineLevel="0" collapsed="false">
      <c r="A289" s="0" t="s">
        <v>394</v>
      </c>
      <c r="B289" s="0" t="s">
        <v>1526</v>
      </c>
      <c r="C289" s="0" t="s">
        <v>1525</v>
      </c>
      <c r="D289" s="0" t="n">
        <v>35</v>
      </c>
      <c r="E289" s="0" t="n">
        <v>12</v>
      </c>
      <c r="F289" s="114" t="n">
        <v>1</v>
      </c>
      <c r="G289" s="171" t="n">
        <f aca="false">Barrage[[#This Row],[Coefficient]]*Barrage[[#This Row],[Total Rounds]]*Barrage[[#This Row],[Base Damage]]</f>
        <v>420</v>
      </c>
      <c r="H289" s="175" t="s">
        <v>2735</v>
      </c>
      <c r="I289" s="114" t="n">
        <v>1.1</v>
      </c>
      <c r="J289" s="114" t="n">
        <v>1.2</v>
      </c>
      <c r="K289" s="114" t="n">
        <v>1</v>
      </c>
      <c r="L289" s="172" t="n">
        <v>0.08</v>
      </c>
      <c r="M289" s="184" t="n">
        <v>3</v>
      </c>
      <c r="N289" s="184"/>
      <c r="O289" s="184"/>
      <c r="P289" s="184"/>
      <c r="Q289" s="116"/>
      <c r="R289" s="0" t="s">
        <v>98</v>
      </c>
      <c r="T289" s="0" t="n">
        <v>1</v>
      </c>
    </row>
    <row r="290" customFormat="false" ht="14.4" hidden="false" customHeight="false" outlineLevel="0" collapsed="false">
      <c r="A290" s="0" t="s">
        <v>2123</v>
      </c>
      <c r="B290" s="0" t="s">
        <v>2131</v>
      </c>
      <c r="C290" s="0" t="s">
        <v>2130</v>
      </c>
      <c r="D290" s="0" t="n">
        <v>226</v>
      </c>
      <c r="E290" s="0" t="n">
        <v>3</v>
      </c>
      <c r="F290" s="114" t="n">
        <v>1</v>
      </c>
      <c r="G290" s="171" t="n">
        <f aca="false">Barrage[[#This Row],[Coefficient]]*Barrage[[#This Row],[Total Rounds]]*Barrage[[#This Row],[Base Damage]]</f>
        <v>678</v>
      </c>
      <c r="H290" s="0" t="s">
        <v>2704</v>
      </c>
      <c r="I290" s="114" t="n">
        <v>0.8</v>
      </c>
      <c r="J290" s="114" t="n">
        <v>0.9</v>
      </c>
      <c r="K290" s="114" t="n">
        <v>1.1</v>
      </c>
      <c r="L290" s="172"/>
      <c r="M290" s="184"/>
      <c r="N290" s="184"/>
      <c r="O290" s="184"/>
      <c r="P290" s="184"/>
      <c r="Q290" s="116"/>
      <c r="R290" s="0" t="s">
        <v>2705</v>
      </c>
      <c r="T290" s="0" t="n">
        <v>0.8</v>
      </c>
    </row>
    <row r="291" customFormat="false" ht="14.4" hidden="false" customHeight="false" outlineLevel="0" collapsed="false">
      <c r="A291" s="0" t="s">
        <v>2123</v>
      </c>
      <c r="B291" s="0" t="s">
        <v>2132</v>
      </c>
      <c r="C291" s="0" t="s">
        <v>2130</v>
      </c>
      <c r="D291" s="0" t="n">
        <v>96</v>
      </c>
      <c r="E291" s="0" t="n">
        <v>6</v>
      </c>
      <c r="F291" s="114" t="n">
        <v>1</v>
      </c>
      <c r="G291" s="171" t="n">
        <f aca="false">Barrage[[#This Row],[Coefficient]]*Barrage[[#This Row],[Total Rounds]]*Barrage[[#This Row],[Base Damage]]</f>
        <v>576</v>
      </c>
      <c r="H291" s="0" t="s">
        <v>2704</v>
      </c>
      <c r="I291" s="114" t="n">
        <v>0.8</v>
      </c>
      <c r="J291" s="114" t="n">
        <v>0.85</v>
      </c>
      <c r="K291" s="114" t="n">
        <v>1</v>
      </c>
      <c r="L291" s="172"/>
      <c r="M291" s="184"/>
      <c r="N291" s="184"/>
      <c r="O291" s="184"/>
      <c r="P291" s="184"/>
      <c r="Q291" s="116"/>
      <c r="R291" s="0" t="s">
        <v>2705</v>
      </c>
      <c r="T291" s="0" t="n">
        <v>0.8</v>
      </c>
    </row>
    <row r="292" customFormat="false" ht="14.4" hidden="false" customHeight="false" outlineLevel="0" collapsed="false">
      <c r="A292" s="0" t="s">
        <v>2123</v>
      </c>
      <c r="B292" s="0" t="s">
        <v>2133</v>
      </c>
      <c r="C292" s="0" t="s">
        <v>2130</v>
      </c>
      <c r="D292" s="0" t="n">
        <v>240</v>
      </c>
      <c r="E292" s="0" t="n">
        <v>6</v>
      </c>
      <c r="F292" s="114" t="n">
        <v>1</v>
      </c>
      <c r="G292" s="171" t="n">
        <f aca="false">Barrage[[#This Row],[Coefficient]]*Barrage[[#This Row],[Total Rounds]]*Barrage[[#This Row],[Base Damage]]</f>
        <v>1440</v>
      </c>
      <c r="H292" s="0" t="s">
        <v>2621</v>
      </c>
      <c r="I292" s="114" t="n">
        <v>0.8</v>
      </c>
      <c r="J292" s="114" t="n">
        <v>1</v>
      </c>
      <c r="K292" s="114" t="n">
        <v>1.3</v>
      </c>
      <c r="L292" s="172"/>
      <c r="M292" s="184"/>
      <c r="N292" s="184"/>
      <c r="O292" s="184"/>
      <c r="P292" s="184"/>
      <c r="Q292" s="116"/>
      <c r="R292" s="0" t="s">
        <v>2705</v>
      </c>
      <c r="T292" s="0" t="n">
        <v>1</v>
      </c>
    </row>
    <row r="293" customFormat="false" ht="14.4" hidden="false" customHeight="false" outlineLevel="0" collapsed="false">
      <c r="A293" s="0" t="s">
        <v>114</v>
      </c>
      <c r="B293" s="0" t="s">
        <v>1873</v>
      </c>
      <c r="F293" s="114"/>
      <c r="G293" s="171"/>
      <c r="I293" s="114" t="n">
        <v>1</v>
      </c>
      <c r="J293" s="114" t="n">
        <v>1.3</v>
      </c>
      <c r="K293" s="114" t="n">
        <v>1.3</v>
      </c>
      <c r="L293" s="172"/>
      <c r="M293" s="184"/>
      <c r="N293" s="184"/>
      <c r="O293" s="184"/>
      <c r="P293" s="184"/>
      <c r="Q293" s="116"/>
    </row>
    <row r="294" customFormat="false" ht="14.4" hidden="false" customHeight="false" outlineLevel="0" collapsed="false">
      <c r="A294" s="0" t="s">
        <v>114</v>
      </c>
      <c r="B294" s="0" t="s">
        <v>1872</v>
      </c>
      <c r="F294" s="114"/>
      <c r="G294" s="171"/>
      <c r="I294" s="114" t="n">
        <v>1.4</v>
      </c>
      <c r="J294" s="114" t="n">
        <v>1.15</v>
      </c>
      <c r="K294" s="114" t="n">
        <v>1.15</v>
      </c>
      <c r="L294" s="172"/>
      <c r="M294" s="184"/>
      <c r="N294" s="184"/>
      <c r="O294" s="184"/>
      <c r="P294" s="184"/>
      <c r="Q294" s="116"/>
    </row>
    <row r="295" customFormat="false" ht="14.4" hidden="false" customHeight="false" outlineLevel="0" collapsed="false">
      <c r="A295" s="0" t="s">
        <v>74</v>
      </c>
      <c r="B295" s="162" t="s">
        <v>968</v>
      </c>
      <c r="C295" s="0" t="s">
        <v>967</v>
      </c>
      <c r="D295" s="0" t="n">
        <v>220</v>
      </c>
      <c r="E295" s="0" t="n">
        <v>6</v>
      </c>
      <c r="F295" s="114" t="n">
        <v>1</v>
      </c>
      <c r="G295" s="171" t="n">
        <f aca="false">Barrage[[#This Row],[Coefficient]]*Barrage[[#This Row],[Total Rounds]]*Barrage[[#This Row],[Base Damage]]</f>
        <v>1320</v>
      </c>
      <c r="H295" s="0" t="s">
        <v>2621</v>
      </c>
      <c r="I295" s="114" t="n">
        <v>0.8</v>
      </c>
      <c r="J295" s="114" t="n">
        <v>0.9</v>
      </c>
      <c r="K295" s="114" t="n">
        <v>1.1</v>
      </c>
      <c r="L295" s="172"/>
      <c r="M295" s="184"/>
      <c r="N295" s="184"/>
      <c r="O295" s="184"/>
      <c r="P295" s="184"/>
      <c r="Q295" s="116"/>
      <c r="R295" s="0" t="s">
        <v>99</v>
      </c>
      <c r="T295" s="0" t="n">
        <v>0.6</v>
      </c>
    </row>
    <row r="296" customFormat="false" ht="14.4" hidden="false" customHeight="false" outlineLevel="0" collapsed="false">
      <c r="A296" s="0" t="s">
        <v>74</v>
      </c>
      <c r="B296" s="0" t="s">
        <v>926</v>
      </c>
      <c r="C296" s="0" t="s">
        <v>924</v>
      </c>
      <c r="D296" s="0" t="n">
        <v>24</v>
      </c>
      <c r="E296" s="0" t="n">
        <v>30</v>
      </c>
      <c r="F296" s="114" t="n">
        <v>1</v>
      </c>
      <c r="G296" s="171" t="n">
        <f aca="false">Barrage[[#This Row],[Coefficient]]*Barrage[[#This Row],[Total Rounds]]*Barrage[[#This Row],[Base Damage]]</f>
        <v>720</v>
      </c>
      <c r="H296" s="174" t="s">
        <v>2611</v>
      </c>
      <c r="I296" s="114" t="n">
        <v>0.9</v>
      </c>
      <c r="J296" s="114" t="n">
        <v>0.7</v>
      </c>
      <c r="K296" s="114" t="n">
        <v>0.4</v>
      </c>
      <c r="L296" s="172"/>
      <c r="M296" s="184"/>
      <c r="N296" s="184"/>
      <c r="O296" s="184"/>
      <c r="P296" s="184"/>
      <c r="Q296" s="116" t="n">
        <v>1</v>
      </c>
      <c r="R296" s="0" t="s">
        <v>98</v>
      </c>
      <c r="T296" s="0" t="n">
        <v>1</v>
      </c>
    </row>
    <row r="297" customFormat="false" ht="14.4" hidden="false" customHeight="false" outlineLevel="0" collapsed="false">
      <c r="A297" s="0" t="s">
        <v>74</v>
      </c>
      <c r="B297" s="0" t="s">
        <v>927</v>
      </c>
      <c r="C297" s="0" t="s">
        <v>924</v>
      </c>
      <c r="D297" s="0" t="n">
        <v>24</v>
      </c>
      <c r="E297" s="0" t="n">
        <v>24</v>
      </c>
      <c r="F297" s="114" t="n">
        <v>1</v>
      </c>
      <c r="G297" s="171" t="n">
        <f aca="false">Barrage[[#This Row],[Coefficient]]*Barrage[[#This Row],[Total Rounds]]*Barrage[[#This Row],[Base Damage]]</f>
        <v>576</v>
      </c>
      <c r="H297" s="175" t="s">
        <v>2612</v>
      </c>
      <c r="I297" s="114" t="n">
        <v>1.2</v>
      </c>
      <c r="J297" s="114" t="n">
        <v>0.6</v>
      </c>
      <c r="K297" s="114" t="n">
        <v>0.6</v>
      </c>
      <c r="L297" s="172" t="n">
        <v>0.01</v>
      </c>
      <c r="M297" s="184" t="n">
        <v>1</v>
      </c>
      <c r="N297" s="184"/>
      <c r="O297" s="184"/>
      <c r="P297" s="184"/>
      <c r="Q297" s="116"/>
      <c r="R297" s="0" t="s">
        <v>98</v>
      </c>
      <c r="T297" s="0" t="n">
        <v>1</v>
      </c>
    </row>
    <row r="298" customFormat="false" ht="14.4" hidden="false" customHeight="false" outlineLevel="0" collapsed="false">
      <c r="A298" s="0" t="s">
        <v>325</v>
      </c>
      <c r="B298" s="0" t="s">
        <v>2498</v>
      </c>
      <c r="C298" s="0" t="s">
        <v>2497</v>
      </c>
      <c r="D298" s="0" t="n">
        <v>60</v>
      </c>
      <c r="E298" s="0" t="n">
        <v>10</v>
      </c>
      <c r="F298" s="114" t="n">
        <v>1</v>
      </c>
      <c r="G298" s="171" t="n">
        <f aca="false">Barrage[[#This Row],[Coefficient]]*Barrage[[#This Row],[Total Rounds]]*Barrage[[#This Row],[Base Damage]]</f>
        <v>600</v>
      </c>
      <c r="H298" s="183" t="s">
        <v>2621</v>
      </c>
      <c r="I298" s="114" t="n">
        <v>0.8</v>
      </c>
      <c r="J298" s="114" t="n">
        <v>1</v>
      </c>
      <c r="K298" s="114" t="n">
        <v>1.3</v>
      </c>
      <c r="L298" s="172"/>
      <c r="M298" s="184"/>
      <c r="N298" s="184"/>
      <c r="O298" s="184"/>
      <c r="P298" s="184"/>
      <c r="Q298" s="116"/>
      <c r="R298" s="0" t="s">
        <v>99</v>
      </c>
      <c r="T298" s="0" t="n">
        <v>1.2</v>
      </c>
    </row>
    <row r="299" customFormat="false" ht="14.4" hidden="false" customHeight="false" outlineLevel="0" collapsed="false">
      <c r="A299" s="0" t="s">
        <v>325</v>
      </c>
      <c r="B299" s="0" t="s">
        <v>2499</v>
      </c>
      <c r="C299" s="0" t="s">
        <v>2497</v>
      </c>
      <c r="D299" s="0" t="n">
        <v>60</v>
      </c>
      <c r="E299" s="0" t="n">
        <v>20</v>
      </c>
      <c r="F299" s="114" t="n">
        <v>1</v>
      </c>
      <c r="G299" s="171" t="n">
        <f aca="false">Barrage[[#This Row],[Coefficient]]*Barrage[[#This Row],[Total Rounds]]*Barrage[[#This Row],[Base Damage]]</f>
        <v>1200</v>
      </c>
      <c r="H299" s="183" t="s">
        <v>2621</v>
      </c>
      <c r="I299" s="114" t="n">
        <v>0.8</v>
      </c>
      <c r="J299" s="114" t="n">
        <v>1</v>
      </c>
      <c r="K299" s="114" t="n">
        <v>1.3</v>
      </c>
      <c r="L299" s="172"/>
      <c r="M299" s="184"/>
      <c r="N299" s="184"/>
      <c r="O299" s="184"/>
      <c r="P299" s="184"/>
      <c r="Q299" s="116"/>
      <c r="R299" s="0" t="s">
        <v>99</v>
      </c>
      <c r="T299" s="0" t="n">
        <v>2.2</v>
      </c>
    </row>
    <row r="300" customFormat="false" ht="14.4" hidden="false" customHeight="false" outlineLevel="0" collapsed="false">
      <c r="A300" s="0" t="s">
        <v>394</v>
      </c>
      <c r="B300" s="0" t="s">
        <v>1691</v>
      </c>
      <c r="C300" s="0" t="s">
        <v>1690</v>
      </c>
      <c r="D300" s="0" t="n">
        <v>81</v>
      </c>
      <c r="E300" s="0" t="n">
        <v>1</v>
      </c>
      <c r="F300" s="114" t="n">
        <v>1</v>
      </c>
      <c r="G300" s="171" t="n">
        <f aca="false">Barrage[[#This Row],[Coefficient]]*Barrage[[#This Row],[Total Rounds]]*Barrage[[#This Row],[Base Damage]]</f>
        <v>81</v>
      </c>
      <c r="H300" s="185" t="s">
        <v>2736</v>
      </c>
      <c r="I300" s="114" t="n">
        <v>1</v>
      </c>
      <c r="J300" s="114" t="n">
        <v>1</v>
      </c>
      <c r="K300" s="114" t="n">
        <v>1</v>
      </c>
      <c r="L300" s="172"/>
      <c r="M300" s="184"/>
      <c r="N300" s="184"/>
      <c r="O300" s="184"/>
      <c r="P300" s="184"/>
      <c r="Q300" s="116" t="n">
        <v>20</v>
      </c>
      <c r="R300" s="0" t="s">
        <v>98</v>
      </c>
      <c r="T300" s="0" t="n">
        <v>1</v>
      </c>
    </row>
    <row r="301" customFormat="false" ht="14.4" hidden="false" customHeight="false" outlineLevel="0" collapsed="false">
      <c r="A301" s="0" t="s">
        <v>242</v>
      </c>
      <c r="B301" s="0" t="s">
        <v>2401</v>
      </c>
      <c r="C301" s="0" t="s">
        <v>2400</v>
      </c>
      <c r="D301" s="0" t="n">
        <v>245</v>
      </c>
      <c r="E301" s="0" t="n">
        <v>1</v>
      </c>
      <c r="F301" s="114" t="n">
        <v>1</v>
      </c>
      <c r="G301" s="171" t="n">
        <f aca="false">Barrage[[#This Row],[Coefficient]]*Barrage[[#This Row],[Total Rounds]]*Barrage[[#This Row],[Base Damage]]</f>
        <v>245</v>
      </c>
      <c r="H301" s="0" t="s">
        <v>2737</v>
      </c>
      <c r="I301" s="114" t="n">
        <v>1</v>
      </c>
      <c r="J301" s="114" t="n">
        <v>1</v>
      </c>
      <c r="K301" s="114" t="n">
        <v>1</v>
      </c>
      <c r="L301" s="172"/>
      <c r="M301" s="184"/>
      <c r="N301" s="184"/>
      <c r="O301" s="184"/>
      <c r="P301" s="184"/>
      <c r="Q301" s="116"/>
      <c r="R301" s="0" t="s">
        <v>2705</v>
      </c>
      <c r="T301" s="0" t="n">
        <v>1</v>
      </c>
    </row>
    <row r="302" customFormat="false" ht="14.4" hidden="false" customHeight="false" outlineLevel="0" collapsed="false">
      <c r="A302" s="0" t="s">
        <v>2123</v>
      </c>
      <c r="B302" s="0" t="s">
        <v>2315</v>
      </c>
      <c r="C302" s="0" t="s">
        <v>2314</v>
      </c>
      <c r="D302" s="0" t="n">
        <v>122</v>
      </c>
      <c r="E302" s="0" t="n">
        <v>15</v>
      </c>
      <c r="F302" s="114" t="n">
        <v>1.18</v>
      </c>
      <c r="G302" s="171" t="n">
        <f aca="false">Barrage[[#This Row],[Coefficient]]*Barrage[[#This Row],[Total Rounds]]*Barrage[[#This Row],[Base Damage]]</f>
        <v>2159.4</v>
      </c>
      <c r="H302" s="175" t="s">
        <v>2612</v>
      </c>
      <c r="I302" s="114" t="n">
        <v>1.1</v>
      </c>
      <c r="J302" s="114" t="n">
        <v>1.1</v>
      </c>
      <c r="K302" s="114" t="n">
        <v>1.1</v>
      </c>
      <c r="L302" s="191" t="n">
        <v>0.015</v>
      </c>
      <c r="M302" s="184" t="n">
        <v>1</v>
      </c>
      <c r="N302" s="184"/>
      <c r="O302" s="184"/>
      <c r="P302" s="184"/>
      <c r="Q302" s="116"/>
      <c r="R302" s="0" t="s">
        <v>2705</v>
      </c>
      <c r="T302" s="0" t="n">
        <v>1</v>
      </c>
    </row>
    <row r="303" customFormat="false" ht="14.4" hidden="false" customHeight="false" outlineLevel="0" collapsed="false">
      <c r="A303" s="0" t="s">
        <v>2123</v>
      </c>
      <c r="B303" s="0" t="s">
        <v>2253</v>
      </c>
      <c r="C303" s="0" t="s">
        <v>2252</v>
      </c>
      <c r="D303" s="0" t="n">
        <v>240</v>
      </c>
      <c r="E303" s="0" t="n">
        <v>6</v>
      </c>
      <c r="F303" s="114" t="n">
        <v>1</v>
      </c>
      <c r="G303" s="171" t="n">
        <f aca="false">Barrage[[#This Row],[Coefficient]]*Barrage[[#This Row],[Total Rounds]]*Barrage[[#This Row],[Base Damage]]</f>
        <v>1440</v>
      </c>
      <c r="H303" s="0" t="s">
        <v>2621</v>
      </c>
      <c r="I303" s="114" t="n">
        <v>0.8</v>
      </c>
      <c r="J303" s="114" t="n">
        <v>1.1</v>
      </c>
      <c r="K303" s="114" t="n">
        <v>1.3</v>
      </c>
      <c r="L303" s="172"/>
      <c r="M303" s="184"/>
      <c r="N303" s="184"/>
      <c r="O303" s="184"/>
      <c r="P303" s="184"/>
      <c r="Q303" s="116"/>
      <c r="R303" s="0" t="s">
        <v>2705</v>
      </c>
      <c r="T303" s="0" t="n">
        <v>1</v>
      </c>
    </row>
    <row r="304" customFormat="false" ht="14.4" hidden="false" customHeight="false" outlineLevel="0" collapsed="false">
      <c r="A304" s="0" t="s">
        <v>2123</v>
      </c>
      <c r="B304" s="0" t="s">
        <v>2254</v>
      </c>
      <c r="C304" s="0" t="s">
        <v>2252</v>
      </c>
      <c r="D304" s="0" t="n">
        <v>300</v>
      </c>
      <c r="E304" s="0" t="n">
        <v>6</v>
      </c>
      <c r="F304" s="114" t="n">
        <v>1</v>
      </c>
      <c r="G304" s="171" t="n">
        <f aca="false">Barrage[[#This Row],[Coefficient]]*Barrage[[#This Row],[Total Rounds]]*Barrage[[#This Row],[Base Damage]]</f>
        <v>1800</v>
      </c>
      <c r="H304" s="183" t="s">
        <v>2704</v>
      </c>
      <c r="I304" s="114" t="n">
        <v>0.8</v>
      </c>
      <c r="J304" s="114" t="n">
        <v>0.9</v>
      </c>
      <c r="K304" s="114" t="n">
        <v>1.1</v>
      </c>
      <c r="L304" s="172"/>
      <c r="M304" s="184"/>
      <c r="N304" s="184"/>
      <c r="O304" s="184"/>
      <c r="P304" s="184"/>
      <c r="Q304" s="116"/>
      <c r="R304" s="0" t="s">
        <v>2705</v>
      </c>
      <c r="T304" s="0" t="n">
        <v>0.8</v>
      </c>
    </row>
    <row r="305" customFormat="false" ht="14.4" hidden="false" customHeight="false" outlineLevel="0" collapsed="false">
      <c r="A305" s="0" t="s">
        <v>114</v>
      </c>
      <c r="B305" s="161" t="s">
        <v>2057</v>
      </c>
      <c r="C305" s="0" t="s">
        <v>2056</v>
      </c>
      <c r="D305" s="0" t="n">
        <v>96</v>
      </c>
      <c r="E305" s="0" t="n">
        <v>4</v>
      </c>
      <c r="F305" s="114" t="n">
        <v>1</v>
      </c>
      <c r="G305" s="171" t="n">
        <f aca="false">Barrage[[#This Row],[Coefficient]]*Barrage[[#This Row],[Total Rounds]]*Barrage[[#This Row],[Base Damage]]</f>
        <v>384</v>
      </c>
      <c r="H305" s="0" t="s">
        <v>2621</v>
      </c>
      <c r="I305" s="114" t="n">
        <v>0.8</v>
      </c>
      <c r="J305" s="114" t="n">
        <v>1.1</v>
      </c>
      <c r="K305" s="114" t="n">
        <v>1.3</v>
      </c>
      <c r="L305" s="172"/>
      <c r="M305" s="184"/>
      <c r="N305" s="184"/>
      <c r="O305" s="184"/>
      <c r="P305" s="184"/>
      <c r="Q305" s="116"/>
      <c r="R305" s="0" t="s">
        <v>99</v>
      </c>
      <c r="T305" s="0" t="n">
        <v>1</v>
      </c>
    </row>
    <row r="306" customFormat="false" ht="14.4" hidden="false" customHeight="false" outlineLevel="0" collapsed="false">
      <c r="A306" s="0" t="s">
        <v>114</v>
      </c>
      <c r="B306" s="161" t="s">
        <v>2058</v>
      </c>
      <c r="C306" s="0" t="s">
        <v>2056</v>
      </c>
      <c r="D306" s="0" t="n">
        <v>130</v>
      </c>
      <c r="E306" s="0" t="n">
        <v>10</v>
      </c>
      <c r="F306" s="114" t="n">
        <v>1</v>
      </c>
      <c r="G306" s="171" t="n">
        <f aca="false">Barrage[[#This Row],[Coefficient]]*Barrage[[#This Row],[Total Rounds]]*Barrage[[#This Row],[Base Damage]]</f>
        <v>1300</v>
      </c>
      <c r="H306" s="0" t="s">
        <v>2602</v>
      </c>
      <c r="I306" s="114" t="n">
        <v>0.7</v>
      </c>
      <c r="J306" s="114" t="n">
        <v>1</v>
      </c>
      <c r="K306" s="114" t="n">
        <v>0.9</v>
      </c>
      <c r="L306" s="172"/>
      <c r="M306" s="184"/>
      <c r="N306" s="184"/>
      <c r="O306" s="184"/>
      <c r="P306" s="184"/>
      <c r="Q306" s="116"/>
      <c r="R306" s="0" t="s">
        <v>98</v>
      </c>
      <c r="T306" s="0" t="n">
        <v>1</v>
      </c>
    </row>
    <row r="307" customFormat="false" ht="14.4" hidden="false" customHeight="false" outlineLevel="0" collapsed="false">
      <c r="A307" s="0" t="s">
        <v>114</v>
      </c>
      <c r="B307" s="161" t="s">
        <v>2059</v>
      </c>
      <c r="C307" s="0" t="s">
        <v>2056</v>
      </c>
      <c r="D307" s="0" t="n">
        <v>20</v>
      </c>
      <c r="E307" s="0" t="n">
        <v>24</v>
      </c>
      <c r="F307" s="114" t="n">
        <v>1</v>
      </c>
      <c r="G307" s="171" t="n">
        <f aca="false">Barrage[[#This Row],[Coefficient]]*Barrage[[#This Row],[Total Rounds]]*Barrage[[#This Row],[Base Damage]]</f>
        <v>480</v>
      </c>
      <c r="H307" s="174" t="s">
        <v>2611</v>
      </c>
      <c r="I307" s="114" t="n">
        <v>1</v>
      </c>
      <c r="J307" s="114" t="n">
        <v>0.8</v>
      </c>
      <c r="K307" s="114" t="n">
        <v>0.6</v>
      </c>
      <c r="L307" s="172"/>
      <c r="M307" s="184"/>
      <c r="N307" s="184"/>
      <c r="O307" s="184"/>
      <c r="P307" s="184"/>
      <c r="Q307" s="116" t="n">
        <v>1</v>
      </c>
      <c r="R307" s="0" t="s">
        <v>98</v>
      </c>
      <c r="T307" s="0" t="n">
        <v>1</v>
      </c>
    </row>
    <row r="308" customFormat="false" ht="14.4" hidden="false" customHeight="false" outlineLevel="0" collapsed="false">
      <c r="A308" s="0" t="s">
        <v>114</v>
      </c>
      <c r="B308" s="161" t="s">
        <v>2060</v>
      </c>
      <c r="C308" s="0" t="s">
        <v>2056</v>
      </c>
      <c r="D308" s="0" t="n">
        <v>20</v>
      </c>
      <c r="E308" s="0" t="n">
        <v>36</v>
      </c>
      <c r="F308" s="114" t="n">
        <v>1</v>
      </c>
      <c r="G308" s="171" t="n">
        <f aca="false">Barrage[[#This Row],[Coefficient]]*Barrage[[#This Row],[Total Rounds]]*Barrage[[#This Row],[Base Damage]]</f>
        <v>720</v>
      </c>
      <c r="H308" s="174" t="s">
        <v>2611</v>
      </c>
      <c r="I308" s="114" t="n">
        <v>1</v>
      </c>
      <c r="J308" s="114" t="n">
        <v>0.8</v>
      </c>
      <c r="K308" s="114" t="n">
        <v>0.7</v>
      </c>
      <c r="L308" s="172"/>
      <c r="M308" s="184"/>
      <c r="N308" s="184"/>
      <c r="O308" s="184"/>
      <c r="P308" s="184"/>
      <c r="Q308" s="116" t="n">
        <v>1</v>
      </c>
      <c r="R308" s="0" t="s">
        <v>98</v>
      </c>
      <c r="T308" s="0" t="n">
        <v>1</v>
      </c>
    </row>
    <row r="309" customFormat="false" ht="14.4" hidden="false" customHeight="false" outlineLevel="0" collapsed="false">
      <c r="A309" s="0" t="s">
        <v>121</v>
      </c>
      <c r="B309" s="0" t="s">
        <v>1395</v>
      </c>
      <c r="C309" s="0" t="s">
        <v>1394</v>
      </c>
      <c r="D309" s="0" t="n">
        <v>30</v>
      </c>
      <c r="E309" s="0" t="n">
        <v>20</v>
      </c>
      <c r="F309" s="114" t="n">
        <v>1.25</v>
      </c>
      <c r="G309" s="171" t="n">
        <f aca="false">Barrage[[#This Row],[Coefficient]]*Barrage[[#This Row],[Total Rounds]]*Barrage[[#This Row],[Base Damage]]</f>
        <v>750</v>
      </c>
      <c r="H309" s="175" t="s">
        <v>2612</v>
      </c>
      <c r="I309" s="114" t="n">
        <v>1.45</v>
      </c>
      <c r="J309" s="114" t="n">
        <v>1.05</v>
      </c>
      <c r="K309" s="114" t="n">
        <v>0.7</v>
      </c>
      <c r="L309" s="172"/>
      <c r="M309" s="184"/>
      <c r="N309" s="184"/>
      <c r="O309" s="184"/>
      <c r="P309" s="184"/>
      <c r="Q309" s="116" t="n">
        <v>1</v>
      </c>
      <c r="R309" s="0" t="s">
        <v>98</v>
      </c>
      <c r="T309" s="0" t="n">
        <v>1</v>
      </c>
    </row>
    <row r="310" customFormat="false" ht="14.4" hidden="false" customHeight="false" outlineLevel="0" collapsed="false">
      <c r="A310" s="0" t="s">
        <v>121</v>
      </c>
      <c r="B310" s="0" t="s">
        <v>1396</v>
      </c>
      <c r="C310" s="0" t="s">
        <v>1394</v>
      </c>
      <c r="D310" s="0" t="n">
        <v>45</v>
      </c>
      <c r="E310" s="0" t="n">
        <v>4</v>
      </c>
      <c r="F310" s="114" t="n">
        <v>1</v>
      </c>
      <c r="G310" s="171" t="n">
        <f aca="false">Barrage[[#This Row],[Coefficient]]*Barrage[[#This Row],[Total Rounds]]*Barrage[[#This Row],[Base Damage]]</f>
        <v>180</v>
      </c>
      <c r="H310" s="183" t="s">
        <v>2621</v>
      </c>
      <c r="I310" s="114" t="n">
        <v>0.7</v>
      </c>
      <c r="J310" s="114" t="n">
        <v>0.9</v>
      </c>
      <c r="K310" s="114" t="n">
        <v>1.2</v>
      </c>
      <c r="L310" s="172"/>
      <c r="M310" s="184"/>
      <c r="N310" s="184"/>
      <c r="O310" s="184"/>
      <c r="P310" s="184"/>
      <c r="Q310" s="116"/>
      <c r="R310" s="0" t="s">
        <v>99</v>
      </c>
      <c r="T310" s="0" t="n">
        <v>1</v>
      </c>
    </row>
    <row r="311" customFormat="false" ht="14.4" hidden="false" customHeight="false" outlineLevel="0" collapsed="false">
      <c r="A311" s="0" t="s">
        <v>121</v>
      </c>
      <c r="B311" s="0" t="s">
        <v>1229</v>
      </c>
      <c r="C311" s="0" t="s">
        <v>1228</v>
      </c>
      <c r="D311" s="0" t="n">
        <v>34</v>
      </c>
      <c r="E311" s="0" t="n">
        <v>15</v>
      </c>
      <c r="F311" s="114" t="n">
        <v>1.25</v>
      </c>
      <c r="G311" s="171" t="n">
        <f aca="false">Barrage[[#This Row],[Coefficient]]*Barrage[[#This Row],[Total Rounds]]*Barrage[[#This Row],[Base Damage]]</f>
        <v>637.5</v>
      </c>
      <c r="H311" s="0" t="s">
        <v>2602</v>
      </c>
      <c r="I311" s="114" t="n">
        <v>1</v>
      </c>
      <c r="J311" s="114" t="n">
        <v>0.75</v>
      </c>
      <c r="K311" s="114" t="n">
        <v>0.4</v>
      </c>
      <c r="L311" s="172"/>
      <c r="M311" s="184"/>
      <c r="N311" s="184"/>
      <c r="O311" s="184"/>
      <c r="P311" s="184"/>
      <c r="Q311" s="116"/>
      <c r="R311" s="0" t="s">
        <v>98</v>
      </c>
      <c r="T311" s="0" t="n">
        <v>1</v>
      </c>
    </row>
    <row r="312" customFormat="false" ht="14.4" hidden="false" customHeight="false" outlineLevel="0" collapsed="false">
      <c r="A312" s="0" t="s">
        <v>121</v>
      </c>
      <c r="B312" s="0" t="s">
        <v>1230</v>
      </c>
      <c r="C312" s="0" t="s">
        <v>1228</v>
      </c>
      <c r="D312" s="0" t="n">
        <v>34</v>
      </c>
      <c r="E312" s="0" t="n">
        <v>13</v>
      </c>
      <c r="F312" s="114" t="n">
        <v>1.25</v>
      </c>
      <c r="G312" s="171" t="n">
        <f aca="false">Barrage[[#This Row],[Coefficient]]*Barrage[[#This Row],[Total Rounds]]*Barrage[[#This Row],[Base Damage]]</f>
        <v>552.5</v>
      </c>
      <c r="H312" s="174" t="s">
        <v>2611</v>
      </c>
      <c r="I312" s="114" t="n">
        <v>1</v>
      </c>
      <c r="J312" s="114" t="n">
        <v>0.8</v>
      </c>
      <c r="K312" s="114" t="n">
        <v>0.6</v>
      </c>
      <c r="L312" s="172"/>
      <c r="M312" s="184"/>
      <c r="N312" s="184"/>
      <c r="O312" s="184"/>
      <c r="P312" s="184"/>
      <c r="Q312" s="116" t="n">
        <v>0</v>
      </c>
      <c r="R312" s="0" t="s">
        <v>98</v>
      </c>
      <c r="T312" s="0" t="n">
        <v>1</v>
      </c>
    </row>
    <row r="313" customFormat="false" ht="14.4" hidden="false" customHeight="false" outlineLevel="0" collapsed="false">
      <c r="A313" s="0" t="s">
        <v>121</v>
      </c>
      <c r="B313" s="0" t="s">
        <v>1263</v>
      </c>
      <c r="C313" s="0" t="s">
        <v>1262</v>
      </c>
      <c r="D313" s="0" t="n">
        <v>22</v>
      </c>
      <c r="E313" s="0" t="n">
        <v>24</v>
      </c>
      <c r="F313" s="114" t="n">
        <v>1.25</v>
      </c>
      <c r="G313" s="171" t="n">
        <f aca="false">Barrage[[#This Row],[Coefficient]]*Barrage[[#This Row],[Total Rounds]]*Barrage[[#This Row],[Base Damage]]</f>
        <v>660</v>
      </c>
      <c r="H313" s="0" t="s">
        <v>2602</v>
      </c>
      <c r="I313" s="114" t="n">
        <v>1.1</v>
      </c>
      <c r="J313" s="114" t="n">
        <v>0.85</v>
      </c>
      <c r="K313" s="114" t="n">
        <v>0.5</v>
      </c>
      <c r="L313" s="172"/>
      <c r="M313" s="184"/>
      <c r="N313" s="184"/>
      <c r="O313" s="184"/>
      <c r="P313" s="184"/>
      <c r="Q313" s="116"/>
      <c r="R313" s="0" t="s">
        <v>98</v>
      </c>
      <c r="T313" s="0" t="n">
        <v>1</v>
      </c>
    </row>
    <row r="314" customFormat="false" ht="14.4" hidden="false" customHeight="false" outlineLevel="0" collapsed="false">
      <c r="A314" s="0" t="s">
        <v>114</v>
      </c>
      <c r="B314" s="159" t="s">
        <v>2037</v>
      </c>
      <c r="C314" s="0" t="s">
        <v>2036</v>
      </c>
      <c r="D314" s="0" t="n">
        <v>170</v>
      </c>
      <c r="E314" s="0" t="n">
        <v>9</v>
      </c>
      <c r="F314" s="114" t="n">
        <v>1</v>
      </c>
      <c r="G314" s="171" t="n">
        <f aca="false">Barrage[[#This Row],[Coefficient]]*Barrage[[#This Row],[Total Rounds]]*Barrage[[#This Row],[Base Damage]]</f>
        <v>1530</v>
      </c>
      <c r="H314" s="174" t="s">
        <v>2611</v>
      </c>
      <c r="I314" s="114" t="n">
        <v>0.4</v>
      </c>
      <c r="J314" s="114" t="n">
        <v>1.2</v>
      </c>
      <c r="K314" s="114" t="n">
        <v>1.25</v>
      </c>
      <c r="L314" s="172"/>
      <c r="M314" s="184"/>
      <c r="N314" s="184"/>
      <c r="O314" s="184"/>
      <c r="P314" s="184"/>
      <c r="Q314" s="116"/>
      <c r="R314" s="0" t="s">
        <v>98</v>
      </c>
      <c r="T314" s="0" t="n">
        <v>1</v>
      </c>
    </row>
    <row r="315" customFormat="false" ht="14.4" hidden="false" customHeight="false" outlineLevel="0" collapsed="false">
      <c r="A315" s="0" t="s">
        <v>114</v>
      </c>
      <c r="B315" s="159" t="s">
        <v>2038</v>
      </c>
      <c r="C315" s="0" t="s">
        <v>2036</v>
      </c>
      <c r="D315" s="0" t="n">
        <v>20</v>
      </c>
      <c r="E315" s="0" t="n">
        <v>20</v>
      </c>
      <c r="F315" s="114" t="n">
        <v>1</v>
      </c>
      <c r="G315" s="171" t="n">
        <f aca="false">Barrage[[#This Row],[Coefficient]]*Barrage[[#This Row],[Total Rounds]]*Barrage[[#This Row],[Base Damage]]</f>
        <v>400</v>
      </c>
      <c r="H315" s="175" t="s">
        <v>2612</v>
      </c>
      <c r="I315" s="114" t="n">
        <v>1.2</v>
      </c>
      <c r="J315" s="114" t="n">
        <v>0.6</v>
      </c>
      <c r="K315" s="114" t="n">
        <v>0.6</v>
      </c>
      <c r="L315" s="172"/>
      <c r="M315" s="184"/>
      <c r="N315" s="184"/>
      <c r="O315" s="184"/>
      <c r="P315" s="184"/>
      <c r="Q315" s="116"/>
      <c r="R315" s="0" t="s">
        <v>98</v>
      </c>
      <c r="T315" s="0" t="n">
        <v>1</v>
      </c>
    </row>
    <row r="316" customFormat="false" ht="14.4" hidden="false" customHeight="false" outlineLevel="0" collapsed="false">
      <c r="A316" s="0" t="s">
        <v>114</v>
      </c>
      <c r="B316" s="159" t="s">
        <v>2039</v>
      </c>
      <c r="C316" s="0" t="s">
        <v>2036</v>
      </c>
      <c r="D316" s="0" t="n">
        <v>56</v>
      </c>
      <c r="E316" s="0" t="n">
        <v>9</v>
      </c>
      <c r="F316" s="114" t="n">
        <v>1</v>
      </c>
      <c r="G316" s="171" t="n">
        <f aca="false">Barrage[[#This Row],[Coefficient]]*Barrage[[#This Row],[Total Rounds]]*Barrage[[#This Row],[Base Damage]]</f>
        <v>504</v>
      </c>
      <c r="H316" s="174" t="s">
        <v>2738</v>
      </c>
      <c r="I316" s="114" t="n">
        <v>0.8</v>
      </c>
      <c r="J316" s="114" t="n">
        <v>0.9</v>
      </c>
      <c r="K316" s="114" t="n">
        <v>1.1</v>
      </c>
      <c r="L316" s="172"/>
      <c r="M316" s="184"/>
      <c r="N316" s="184"/>
      <c r="O316" s="184"/>
      <c r="P316" s="184"/>
      <c r="Q316" s="116"/>
      <c r="R316" s="0" t="s">
        <v>98</v>
      </c>
      <c r="T316" s="0" t="n">
        <v>1</v>
      </c>
      <c r="U316" s="0" t="s">
        <v>2739</v>
      </c>
    </row>
    <row r="317" customFormat="false" ht="13.8" hidden="false" customHeight="false" outlineLevel="0" collapsed="false">
      <c r="A317" s="0" t="s">
        <v>114</v>
      </c>
      <c r="B317" s="0" t="s">
        <v>1809</v>
      </c>
      <c r="C317" s="0" t="s">
        <v>1808</v>
      </c>
      <c r="D317" s="0" t="n">
        <v>108</v>
      </c>
      <c r="E317" s="0" t="n">
        <v>2</v>
      </c>
      <c r="F317" s="114" t="n">
        <v>1.1</v>
      </c>
      <c r="G317" s="171" t="n">
        <v>216</v>
      </c>
      <c r="H317" s="174" t="s">
        <v>2612</v>
      </c>
      <c r="I317" s="114" t="n">
        <v>0.4</v>
      </c>
      <c r="J317" s="114" t="n">
        <v>1.5</v>
      </c>
      <c r="K317" s="114" t="n">
        <v>1.3</v>
      </c>
      <c r="L317" s="172"/>
      <c r="M317" s="184"/>
      <c r="N317" s="184"/>
      <c r="O317" s="184"/>
      <c r="P317" s="184"/>
      <c r="Q317" s="116"/>
      <c r="R317" s="0" t="s">
        <v>98</v>
      </c>
      <c r="T317" s="0" t="n">
        <v>0.8</v>
      </c>
    </row>
    <row r="318" customFormat="false" ht="14.4" hidden="false" customHeight="false" outlineLevel="0" collapsed="false">
      <c r="A318" s="0" t="s">
        <v>121</v>
      </c>
      <c r="B318" s="0" t="s">
        <v>1198</v>
      </c>
      <c r="C318" s="0" t="s">
        <v>1197</v>
      </c>
      <c r="D318" s="0" t="n">
        <v>20</v>
      </c>
      <c r="E318" s="0" t="n">
        <v>42</v>
      </c>
      <c r="F318" s="114" t="n">
        <v>1</v>
      </c>
      <c r="G318" s="171" t="n">
        <f aca="false">Barrage[[#This Row],[Coefficient]]*Barrage[[#This Row],[Total Rounds]]*Barrage[[#This Row],[Base Damage]]</f>
        <v>840</v>
      </c>
      <c r="H318" s="0" t="s">
        <v>2602</v>
      </c>
      <c r="I318" s="114" t="n">
        <v>1.1</v>
      </c>
      <c r="J318" s="114" t="n">
        <v>0.9</v>
      </c>
      <c r="K318" s="114" t="n">
        <v>0.7</v>
      </c>
      <c r="L318" s="172"/>
      <c r="M318" s="184"/>
      <c r="N318" s="184"/>
      <c r="O318" s="184"/>
      <c r="P318" s="184"/>
      <c r="Q318" s="116"/>
      <c r="R318" s="0" t="s">
        <v>98</v>
      </c>
      <c r="T318" s="0" t="n">
        <v>1</v>
      </c>
    </row>
    <row r="319" customFormat="false" ht="14.4" hidden="false" customHeight="false" outlineLevel="0" collapsed="false">
      <c r="A319" s="0" t="s">
        <v>121</v>
      </c>
      <c r="B319" s="159" t="s">
        <v>1199</v>
      </c>
      <c r="C319" s="0" t="s">
        <v>1197</v>
      </c>
      <c r="D319" s="0" t="n">
        <v>26</v>
      </c>
      <c r="E319" s="0" t="n">
        <v>12</v>
      </c>
      <c r="F319" s="114" t="n">
        <v>1</v>
      </c>
      <c r="G319" s="171" t="n">
        <f aca="false">Barrage[[#This Row],[Coefficient]]*Barrage[[#This Row],[Total Rounds]]*Barrage[[#This Row],[Base Damage]]</f>
        <v>312</v>
      </c>
      <c r="H319" s="175" t="s">
        <v>2612</v>
      </c>
      <c r="I319" s="114" t="n">
        <v>1.25</v>
      </c>
      <c r="J319" s="114" t="n">
        <v>0.85</v>
      </c>
      <c r="K319" s="114" t="n">
        <v>0.85</v>
      </c>
      <c r="L319" s="172" t="n">
        <v>1</v>
      </c>
      <c r="M319" s="184" t="n">
        <v>1</v>
      </c>
      <c r="N319" s="184"/>
      <c r="O319" s="184"/>
      <c r="P319" s="184"/>
      <c r="Q319" s="116"/>
      <c r="R319" s="0" t="s">
        <v>98</v>
      </c>
      <c r="T319" s="0" t="n">
        <v>1</v>
      </c>
    </row>
    <row r="320" customFormat="false" ht="14.4" hidden="false" customHeight="false" outlineLevel="0" collapsed="false">
      <c r="A320" s="0" t="s">
        <v>74</v>
      </c>
      <c r="B320" s="0" t="s">
        <v>1012</v>
      </c>
      <c r="C320" s="0" t="s">
        <v>1011</v>
      </c>
      <c r="D320" s="0" t="n">
        <v>12</v>
      </c>
      <c r="E320" s="0" t="n">
        <v>60</v>
      </c>
      <c r="F320" s="114" t="n">
        <v>1</v>
      </c>
      <c r="G320" s="171" t="n">
        <f aca="false">Barrage[[#This Row],[Coefficient]]*Barrage[[#This Row],[Total Rounds]]*Barrage[[#This Row],[Base Damage]]</f>
        <v>720</v>
      </c>
      <c r="H320" s="175" t="s">
        <v>2612</v>
      </c>
      <c r="I320" s="114" t="n">
        <v>1.1</v>
      </c>
      <c r="J320" s="114" t="n">
        <v>0.9</v>
      </c>
      <c r="K320" s="114" t="n">
        <v>0.7</v>
      </c>
      <c r="L320" s="172"/>
      <c r="M320" s="184"/>
      <c r="N320" s="184"/>
      <c r="O320" s="184"/>
      <c r="P320" s="184"/>
      <c r="Q320" s="116"/>
      <c r="R320" s="0" t="s">
        <v>98</v>
      </c>
      <c r="T320" s="0" t="n">
        <v>1</v>
      </c>
    </row>
    <row r="321" customFormat="false" ht="14.4" hidden="false" customHeight="false" outlineLevel="0" collapsed="false">
      <c r="A321" s="0" t="s">
        <v>74</v>
      </c>
      <c r="B321" s="0" t="s">
        <v>1013</v>
      </c>
      <c r="C321" s="0" t="s">
        <v>1011</v>
      </c>
      <c r="D321" s="0" t="n">
        <v>24</v>
      </c>
      <c r="E321" s="0" t="n">
        <v>6</v>
      </c>
      <c r="F321" s="114" t="n">
        <v>1.25</v>
      </c>
      <c r="G321" s="171" t="n">
        <f aca="false">Barrage[[#This Row],[Coefficient]]*Barrage[[#This Row],[Total Rounds]]*Barrage[[#This Row],[Base Damage]]</f>
        <v>180</v>
      </c>
      <c r="H321" s="0" t="s">
        <v>2602</v>
      </c>
      <c r="I321" s="114" t="n">
        <v>1</v>
      </c>
      <c r="J321" s="114" t="n">
        <v>0.5</v>
      </c>
      <c r="K321" s="114" t="n">
        <v>0.2</v>
      </c>
      <c r="L321" s="172"/>
      <c r="M321" s="184"/>
      <c r="N321" s="184"/>
      <c r="O321" s="184"/>
      <c r="P321" s="184"/>
      <c r="Q321" s="116"/>
      <c r="R321" s="0" t="s">
        <v>98</v>
      </c>
      <c r="T321" s="0" t="n">
        <v>1</v>
      </c>
      <c r="U321" s="0" t="s">
        <v>2740</v>
      </c>
    </row>
    <row r="322" customFormat="false" ht="14.4" hidden="false" customHeight="false" outlineLevel="0" collapsed="false">
      <c r="A322" s="0" t="s">
        <v>74</v>
      </c>
      <c r="B322" s="0" t="s">
        <v>681</v>
      </c>
      <c r="C322" s="0" t="s">
        <v>679</v>
      </c>
      <c r="D322" s="0" t="n">
        <v>10</v>
      </c>
      <c r="E322" s="0" t="n">
        <v>20</v>
      </c>
      <c r="F322" s="114" t="n">
        <v>1.25</v>
      </c>
      <c r="G322" s="171" t="n">
        <f aca="false">Barrage[[#This Row],[Coefficient]]*Barrage[[#This Row],[Total Rounds]]*Barrage[[#This Row],[Base Damage]]</f>
        <v>250</v>
      </c>
      <c r="H322" s="0" t="s">
        <v>2602</v>
      </c>
      <c r="I322" s="114" t="n">
        <v>1</v>
      </c>
      <c r="J322" s="114" t="n">
        <v>0.8</v>
      </c>
      <c r="K322" s="114" t="n">
        <v>0.6</v>
      </c>
      <c r="L322" s="172"/>
      <c r="M322" s="184"/>
      <c r="N322" s="184"/>
      <c r="O322" s="184"/>
      <c r="P322" s="184"/>
      <c r="Q322" s="116"/>
      <c r="R322" s="0" t="s">
        <v>98</v>
      </c>
      <c r="T322" s="0" t="n">
        <v>1</v>
      </c>
    </row>
    <row r="323" customFormat="false" ht="14.4" hidden="false" customHeight="false" outlineLevel="0" collapsed="false">
      <c r="A323" s="0" t="s">
        <v>74</v>
      </c>
      <c r="B323" s="0" t="s">
        <v>902</v>
      </c>
      <c r="C323" s="0" t="s">
        <v>901</v>
      </c>
      <c r="D323" s="0" t="n">
        <v>12</v>
      </c>
      <c r="E323" s="0" t="n">
        <v>18</v>
      </c>
      <c r="F323" s="114" t="n">
        <v>1.25</v>
      </c>
      <c r="G323" s="171" t="n">
        <f aca="false">Barrage[[#This Row],[Coefficient]]*Barrage[[#This Row],[Total Rounds]]*Barrage[[#This Row],[Base Damage]]</f>
        <v>270</v>
      </c>
      <c r="H323" s="175" t="s">
        <v>2612</v>
      </c>
      <c r="I323" s="114" t="n">
        <v>1.3</v>
      </c>
      <c r="J323" s="114" t="n">
        <v>0.9</v>
      </c>
      <c r="K323" s="114" t="n">
        <v>0.6</v>
      </c>
      <c r="L323" s="172"/>
      <c r="M323" s="184"/>
      <c r="N323" s="184"/>
      <c r="O323" s="184"/>
      <c r="P323" s="184"/>
      <c r="Q323" s="116"/>
      <c r="R323" s="0" t="s">
        <v>98</v>
      </c>
      <c r="T323" s="0" t="n">
        <v>1</v>
      </c>
    </row>
    <row r="324" customFormat="false" ht="14.4" hidden="false" customHeight="false" outlineLevel="0" collapsed="false">
      <c r="A324" s="0" t="s">
        <v>121</v>
      </c>
      <c r="B324" s="0" t="s">
        <v>1406</v>
      </c>
      <c r="C324" s="0" t="s">
        <v>1405</v>
      </c>
      <c r="D324" s="0" t="n">
        <v>25</v>
      </c>
      <c r="E324" s="0" t="n">
        <v>10</v>
      </c>
      <c r="F324" s="114" t="n">
        <v>1.25</v>
      </c>
      <c r="G324" s="171" t="n">
        <f aca="false">Barrage[[#This Row],[Coefficient]]*Barrage[[#This Row],[Total Rounds]]*Barrage[[#This Row],[Base Damage]]</f>
        <v>312.5</v>
      </c>
      <c r="H324" s="175" t="s">
        <v>2612</v>
      </c>
      <c r="I324" s="114" t="n">
        <v>1</v>
      </c>
      <c r="J324" s="114" t="n">
        <v>0.8</v>
      </c>
      <c r="K324" s="114" t="n">
        <v>0.6</v>
      </c>
      <c r="L324" s="172"/>
      <c r="M324" s="184"/>
      <c r="N324" s="184"/>
      <c r="O324" s="184"/>
      <c r="P324" s="184"/>
      <c r="Q324" s="116"/>
      <c r="R324" s="0" t="s">
        <v>98</v>
      </c>
      <c r="T324" s="0" t="n">
        <v>1</v>
      </c>
    </row>
    <row r="325" customFormat="false" ht="14.4" hidden="false" customHeight="false" outlineLevel="0" collapsed="false">
      <c r="A325" s="0" t="s">
        <v>2123</v>
      </c>
      <c r="B325" s="0" t="s">
        <v>2223</v>
      </c>
      <c r="C325" s="0" t="s">
        <v>2222</v>
      </c>
      <c r="D325" s="0" t="n">
        <v>380</v>
      </c>
      <c r="E325" s="0" t="n">
        <v>3</v>
      </c>
      <c r="F325" s="114" t="n">
        <v>1</v>
      </c>
      <c r="G325" s="171" t="n">
        <f aca="false">Barrage[[#This Row],[Coefficient]]*Barrage[[#This Row],[Total Rounds]]*Barrage[[#This Row],[Base Damage]]</f>
        <v>1140</v>
      </c>
      <c r="H325" s="183" t="s">
        <v>2704</v>
      </c>
      <c r="I325" s="114" t="n">
        <v>0.7</v>
      </c>
      <c r="J325" s="114" t="n">
        <v>1.05</v>
      </c>
      <c r="K325" s="114" t="n">
        <v>1.25</v>
      </c>
      <c r="L325" s="172"/>
      <c r="M325" s="184"/>
      <c r="N325" s="184"/>
      <c r="O325" s="184"/>
      <c r="P325" s="184"/>
      <c r="Q325" s="116"/>
      <c r="R325" s="0" t="s">
        <v>2705</v>
      </c>
      <c r="T325" s="0" t="n">
        <v>1</v>
      </c>
    </row>
    <row r="326" customFormat="false" ht="14.4" hidden="false" customHeight="false" outlineLevel="0" collapsed="false">
      <c r="A326" s="0" t="s">
        <v>2123</v>
      </c>
      <c r="B326" s="0" t="s">
        <v>2224</v>
      </c>
      <c r="C326" s="0" t="s">
        <v>2222</v>
      </c>
      <c r="D326" s="0" t="n">
        <v>220</v>
      </c>
      <c r="E326" s="0" t="n">
        <v>6</v>
      </c>
      <c r="F326" s="114" t="n">
        <v>1</v>
      </c>
      <c r="G326" s="171" t="n">
        <f aca="false">Barrage[[#This Row],[Coefficient]]*Barrage[[#This Row],[Total Rounds]]*Barrage[[#This Row],[Base Damage]]</f>
        <v>1320</v>
      </c>
      <c r="H326" s="0" t="s">
        <v>2704</v>
      </c>
      <c r="I326" s="114" t="n">
        <v>0.8</v>
      </c>
      <c r="J326" s="114" t="n">
        <v>0.9</v>
      </c>
      <c r="K326" s="114" t="n">
        <v>1.1</v>
      </c>
      <c r="L326" s="172"/>
      <c r="M326" s="184"/>
      <c r="N326" s="184"/>
      <c r="O326" s="184"/>
      <c r="P326" s="184"/>
      <c r="Q326" s="116"/>
      <c r="R326" s="0" t="s">
        <v>2705</v>
      </c>
      <c r="T326" s="0" t="n">
        <v>1</v>
      </c>
    </row>
    <row r="327" customFormat="false" ht="14.4" hidden="false" customHeight="false" outlineLevel="0" collapsed="false">
      <c r="A327" s="0" t="s">
        <v>121</v>
      </c>
      <c r="B327" s="0" t="s">
        <v>1425</v>
      </c>
      <c r="C327" s="0" t="s">
        <v>1424</v>
      </c>
      <c r="D327" s="0" t="n">
        <v>24</v>
      </c>
      <c r="E327" s="0" t="n">
        <v>18</v>
      </c>
      <c r="F327" s="114" t="n">
        <v>1</v>
      </c>
      <c r="G327" s="171" t="n">
        <f aca="false">Barrage[[#This Row],[Coefficient]]*Barrage[[#This Row],[Total Rounds]]*Barrage[[#This Row],[Base Damage]]</f>
        <v>432</v>
      </c>
      <c r="H327" s="0" t="s">
        <v>2602</v>
      </c>
      <c r="I327" s="114" t="n">
        <v>1</v>
      </c>
      <c r="J327" s="114" t="n">
        <v>1</v>
      </c>
      <c r="K327" s="114" t="n">
        <v>1</v>
      </c>
      <c r="L327" s="172"/>
      <c r="M327" s="184"/>
      <c r="N327" s="184"/>
      <c r="O327" s="184"/>
      <c r="P327" s="184"/>
      <c r="Q327" s="116"/>
      <c r="R327" s="0" t="s">
        <v>98</v>
      </c>
      <c r="T327" s="0" t="n">
        <v>1</v>
      </c>
    </row>
    <row r="328" customFormat="false" ht="14.4" hidden="false" customHeight="false" outlineLevel="0" collapsed="false">
      <c r="A328" s="0" t="s">
        <v>394</v>
      </c>
      <c r="B328" s="0" t="s">
        <v>1583</v>
      </c>
      <c r="C328" s="0" t="s">
        <v>1583</v>
      </c>
      <c r="D328" s="0" t="n">
        <v>20</v>
      </c>
      <c r="E328" s="0" t="n">
        <v>12</v>
      </c>
      <c r="F328" s="114" t="n">
        <v>1</v>
      </c>
      <c r="G328" s="171" t="n">
        <f aca="false">Barrage[[#This Row],[Coefficient]]*Barrage[[#This Row],[Total Rounds]]*Barrage[[#This Row],[Base Damage]]</f>
        <v>240</v>
      </c>
      <c r="H328" s="175" t="s">
        <v>2612</v>
      </c>
      <c r="I328" s="114" t="n">
        <v>1.35</v>
      </c>
      <c r="J328" s="114" t="n">
        <v>0.95</v>
      </c>
      <c r="K328" s="114" t="n">
        <v>0.7</v>
      </c>
      <c r="L328" s="172"/>
      <c r="M328" s="184"/>
      <c r="N328" s="184"/>
      <c r="O328" s="184"/>
      <c r="P328" s="184"/>
      <c r="Q328" s="116"/>
      <c r="R328" s="0" t="s">
        <v>98</v>
      </c>
      <c r="T328" s="0" t="n">
        <v>1</v>
      </c>
    </row>
    <row r="329" customFormat="false" ht="14.4" hidden="false" customHeight="false" outlineLevel="0" collapsed="false">
      <c r="A329" s="0" t="s">
        <v>74</v>
      </c>
      <c r="B329" s="0" t="s">
        <v>601</v>
      </c>
      <c r="C329" s="0" t="s">
        <v>600</v>
      </c>
      <c r="D329" s="0" t="n">
        <v>10</v>
      </c>
      <c r="E329" s="0" t="n">
        <v>30</v>
      </c>
      <c r="F329" s="114" t="n">
        <v>1.25</v>
      </c>
      <c r="G329" s="171" t="n">
        <f aca="false">Barrage[[#This Row],[Coefficient]]*Barrage[[#This Row],[Total Rounds]]*Barrage[[#This Row],[Base Damage]]</f>
        <v>375</v>
      </c>
      <c r="H329" s="175" t="s">
        <v>2612</v>
      </c>
      <c r="I329" s="114" t="n">
        <v>1.1</v>
      </c>
      <c r="J329" s="114" t="n">
        <v>1.1</v>
      </c>
      <c r="K329" s="114" t="n">
        <v>1</v>
      </c>
      <c r="L329" s="172"/>
      <c r="M329" s="184"/>
      <c r="N329" s="184"/>
      <c r="O329" s="184"/>
      <c r="P329" s="184"/>
      <c r="Q329" s="116"/>
      <c r="R329" s="0" t="s">
        <v>98</v>
      </c>
      <c r="T329" s="0" t="n">
        <v>1</v>
      </c>
    </row>
    <row r="330" customFormat="false" ht="14.4" hidden="false" customHeight="false" outlineLevel="0" collapsed="false">
      <c r="A330" s="0" t="s">
        <v>74</v>
      </c>
      <c r="B330" s="0" t="s">
        <v>2741</v>
      </c>
      <c r="C330" s="0" t="s">
        <v>600</v>
      </c>
      <c r="D330" s="0" t="n">
        <v>84</v>
      </c>
      <c r="E330" s="0" t="n">
        <v>1</v>
      </c>
      <c r="F330" s="114" t="n">
        <v>1</v>
      </c>
      <c r="G330" s="171" t="n">
        <f aca="false">Barrage[[#This Row],[Coefficient]]*Barrage[[#This Row],[Total Rounds]]*Barrage[[#This Row],[Base Damage]]</f>
        <v>84</v>
      </c>
      <c r="H330" s="183" t="s">
        <v>2602</v>
      </c>
      <c r="I330" s="114" t="n">
        <v>1</v>
      </c>
      <c r="J330" s="114" t="n">
        <v>0.5</v>
      </c>
      <c r="K330" s="114" t="n">
        <v>0.2</v>
      </c>
      <c r="L330" s="172"/>
      <c r="M330" s="184"/>
      <c r="N330" s="184"/>
      <c r="O330" s="184"/>
      <c r="P330" s="184"/>
      <c r="Q330" s="116"/>
      <c r="R330" s="0" t="s">
        <v>98</v>
      </c>
      <c r="T330" s="0" t="n">
        <v>1</v>
      </c>
    </row>
    <row r="331" customFormat="false" ht="14.4" hidden="false" customHeight="false" outlineLevel="0" collapsed="false">
      <c r="A331" s="0" t="s">
        <v>74</v>
      </c>
      <c r="B331" s="0" t="s">
        <v>2742</v>
      </c>
      <c r="C331" s="0" t="s">
        <v>600</v>
      </c>
      <c r="D331" s="0" t="n">
        <v>456</v>
      </c>
      <c r="E331" s="0" t="n">
        <v>4</v>
      </c>
      <c r="F331" s="114" t="n">
        <v>1</v>
      </c>
      <c r="G331" s="171" t="n">
        <f aca="false">Barrage[[#This Row],[Coefficient]]*Barrage[[#This Row],[Total Rounds]]*Barrage[[#This Row],[Base Damage]]</f>
        <v>1824</v>
      </c>
      <c r="H331" s="183" t="s">
        <v>2704</v>
      </c>
      <c r="I331" s="114" t="n">
        <v>0.7</v>
      </c>
      <c r="J331" s="114" t="n">
        <v>1.05</v>
      </c>
      <c r="K331" s="114" t="n">
        <v>1.25</v>
      </c>
      <c r="L331" s="172"/>
      <c r="M331" s="184"/>
      <c r="N331" s="184"/>
      <c r="O331" s="184"/>
      <c r="P331" s="184"/>
      <c r="Q331" s="116"/>
      <c r="R331" s="0" t="s">
        <v>99</v>
      </c>
      <c r="T331" s="0" t="n">
        <v>1.2</v>
      </c>
    </row>
    <row r="332" customFormat="false" ht="14.4" hidden="false" customHeight="false" outlineLevel="0" collapsed="false">
      <c r="A332" s="0" t="s">
        <v>114</v>
      </c>
      <c r="B332" s="0" t="s">
        <v>2075</v>
      </c>
      <c r="C332" s="0" t="s">
        <v>2074</v>
      </c>
      <c r="D332" s="0" t="n">
        <v>96</v>
      </c>
      <c r="E332" s="0" t="n">
        <v>8</v>
      </c>
      <c r="F332" s="114" t="n">
        <v>1.1</v>
      </c>
      <c r="G332" s="171" t="n">
        <f aca="false">Barrage[[#This Row],[Coefficient]]*Barrage[[#This Row],[Total Rounds]]*Barrage[[#This Row],[Base Damage]]</f>
        <v>844.8</v>
      </c>
      <c r="H332" s="0" t="s">
        <v>2621</v>
      </c>
      <c r="I332" s="114" t="n">
        <v>0.8</v>
      </c>
      <c r="J332" s="114" t="n">
        <v>1</v>
      </c>
      <c r="K332" s="114" t="n">
        <v>1.3</v>
      </c>
      <c r="L332" s="172"/>
      <c r="M332" s="184"/>
      <c r="N332" s="184"/>
      <c r="O332" s="184"/>
      <c r="P332" s="184"/>
      <c r="Q332" s="116"/>
      <c r="R332" s="0" t="s">
        <v>99</v>
      </c>
      <c r="T332" s="0" t="n">
        <v>1</v>
      </c>
    </row>
    <row r="333" customFormat="false" ht="14.4" hidden="false" customHeight="false" outlineLevel="0" collapsed="false">
      <c r="A333" s="0" t="s">
        <v>114</v>
      </c>
      <c r="B333" s="0" t="s">
        <v>2076</v>
      </c>
      <c r="C333" s="0" t="s">
        <v>2074</v>
      </c>
      <c r="D333" s="0" t="n">
        <v>156</v>
      </c>
      <c r="E333" s="0" t="n">
        <v>4</v>
      </c>
      <c r="F333" s="114" t="n">
        <v>1</v>
      </c>
      <c r="G333" s="171" t="n">
        <f aca="false">Barrage[[#This Row],[Coefficient]]*Barrage[[#This Row],[Total Rounds]]*Barrage[[#This Row],[Base Damage]]</f>
        <v>624</v>
      </c>
      <c r="H333" s="183" t="s">
        <v>2602</v>
      </c>
      <c r="I333" s="114" t="n">
        <v>0.9</v>
      </c>
      <c r="J333" s="114" t="n">
        <v>1.2</v>
      </c>
      <c r="K333" s="114" t="n">
        <v>0.7</v>
      </c>
      <c r="L333" s="172"/>
      <c r="M333" s="184"/>
      <c r="N333" s="184"/>
      <c r="O333" s="184"/>
      <c r="P333" s="184"/>
      <c r="Q333" s="116"/>
      <c r="R333" s="0" t="s">
        <v>98</v>
      </c>
      <c r="T333" s="0" t="n">
        <v>1</v>
      </c>
    </row>
    <row r="334" customFormat="false" ht="14.4" hidden="false" customHeight="false" outlineLevel="0" collapsed="false">
      <c r="A334" s="0" t="s">
        <v>114</v>
      </c>
      <c r="B334" s="0" t="s">
        <v>2077</v>
      </c>
      <c r="C334" s="0" t="s">
        <v>2074</v>
      </c>
      <c r="D334" s="0" t="n">
        <v>156</v>
      </c>
      <c r="E334" s="0" t="n">
        <v>6</v>
      </c>
      <c r="F334" s="114" t="n">
        <v>1</v>
      </c>
      <c r="G334" s="171" t="n">
        <f aca="false">Barrage[[#This Row],[Coefficient]]*Barrage[[#This Row],[Total Rounds]]*Barrage[[#This Row],[Base Damage]]</f>
        <v>936</v>
      </c>
      <c r="H334" s="0" t="s">
        <v>2602</v>
      </c>
      <c r="I334" s="114" t="n">
        <v>0.9</v>
      </c>
      <c r="J334" s="114" t="n">
        <v>1.2</v>
      </c>
      <c r="K334" s="114" t="n">
        <v>0.7</v>
      </c>
      <c r="L334" s="172"/>
      <c r="M334" s="184"/>
      <c r="N334" s="184"/>
      <c r="O334" s="184"/>
      <c r="P334" s="184"/>
      <c r="Q334" s="116"/>
      <c r="R334" s="0" t="s">
        <v>98</v>
      </c>
      <c r="T334" s="0" t="n">
        <v>1</v>
      </c>
    </row>
    <row r="335" customFormat="false" ht="14.4" hidden="false" customHeight="false" outlineLevel="0" collapsed="false">
      <c r="A335" s="0" t="s">
        <v>114</v>
      </c>
      <c r="B335" s="0" t="s">
        <v>2078</v>
      </c>
      <c r="C335" s="0" t="s">
        <v>2074</v>
      </c>
      <c r="D335" s="0" t="n">
        <v>20</v>
      </c>
      <c r="E335" s="0" t="n">
        <v>48</v>
      </c>
      <c r="F335" s="114" t="n">
        <v>1</v>
      </c>
      <c r="G335" s="171" t="n">
        <f aca="false">Barrage[[#This Row],[Coefficient]]*Barrage[[#This Row],[Total Rounds]]*Barrage[[#This Row],[Base Damage]]</f>
        <v>960</v>
      </c>
      <c r="H335" s="0" t="s">
        <v>2602</v>
      </c>
      <c r="I335" s="114" t="n">
        <v>1</v>
      </c>
      <c r="J335" s="114" t="n">
        <v>0.8</v>
      </c>
      <c r="K335" s="114" t="n">
        <v>0.6</v>
      </c>
      <c r="L335" s="172"/>
      <c r="M335" s="184"/>
      <c r="N335" s="184"/>
      <c r="O335" s="184"/>
      <c r="P335" s="184"/>
      <c r="Q335" s="116"/>
      <c r="R335" s="0" t="s">
        <v>98</v>
      </c>
      <c r="T335" s="0" t="n">
        <v>1</v>
      </c>
    </row>
    <row r="336" customFormat="false" ht="14.4" hidden="false" customHeight="false" outlineLevel="0" collapsed="false">
      <c r="A336" s="0" t="s">
        <v>114</v>
      </c>
      <c r="B336" s="0" t="s">
        <v>2079</v>
      </c>
      <c r="C336" s="0" t="s">
        <v>2074</v>
      </c>
      <c r="D336" s="0" t="n">
        <v>20</v>
      </c>
      <c r="E336" s="0" t="n">
        <v>24</v>
      </c>
      <c r="F336" s="114" t="n">
        <v>1</v>
      </c>
      <c r="G336" s="171" t="n">
        <f aca="false">Barrage[[#This Row],[Coefficient]]*Barrage[[#This Row],[Total Rounds]]*Barrage[[#This Row],[Base Damage]]</f>
        <v>480</v>
      </c>
      <c r="H336" s="0" t="s">
        <v>2602</v>
      </c>
      <c r="I336" s="114" t="n">
        <v>1</v>
      </c>
      <c r="J336" s="114" t="n">
        <v>1</v>
      </c>
      <c r="K336" s="114" t="n">
        <v>1</v>
      </c>
      <c r="L336" s="172"/>
      <c r="M336" s="184"/>
      <c r="N336" s="184"/>
      <c r="O336" s="184"/>
      <c r="P336" s="184"/>
      <c r="Q336" s="116"/>
      <c r="R336" s="0" t="s">
        <v>98</v>
      </c>
      <c r="T336" s="0" t="n">
        <v>1</v>
      </c>
    </row>
    <row r="337" customFormat="false" ht="14.4" hidden="false" customHeight="false" outlineLevel="0" collapsed="false">
      <c r="A337" s="0" t="s">
        <v>114</v>
      </c>
      <c r="B337" s="0" t="s">
        <v>2080</v>
      </c>
      <c r="C337" s="0" t="s">
        <v>2074</v>
      </c>
      <c r="D337" s="0" t="n">
        <v>93</v>
      </c>
      <c r="E337" s="0" t="n">
        <v>2</v>
      </c>
      <c r="F337" s="114" t="n">
        <v>1</v>
      </c>
      <c r="G337" s="171" t="n">
        <f aca="false">Barrage[[#This Row],[Coefficient]]*Barrage[[#This Row],[Total Rounds]]*Barrage[[#This Row],[Base Damage]]</f>
        <v>186</v>
      </c>
      <c r="H337" s="175" t="s">
        <v>2612</v>
      </c>
      <c r="I337" s="114" t="n">
        <v>1.4</v>
      </c>
      <c r="J337" s="114" t="n">
        <v>1.1</v>
      </c>
      <c r="K337" s="114" t="n">
        <v>0.9</v>
      </c>
      <c r="L337" s="172"/>
      <c r="M337" s="184"/>
      <c r="N337" s="184"/>
      <c r="O337" s="184"/>
      <c r="P337" s="184"/>
      <c r="Q337" s="116"/>
      <c r="R337" s="0" t="s">
        <v>98</v>
      </c>
      <c r="T337" s="0" t="n">
        <v>1</v>
      </c>
    </row>
    <row r="338" customFormat="false" ht="14.4" hidden="false" customHeight="false" outlineLevel="0" collapsed="false">
      <c r="A338" s="0" t="s">
        <v>114</v>
      </c>
      <c r="B338" s="0" t="s">
        <v>2081</v>
      </c>
      <c r="C338" s="0" t="s">
        <v>2074</v>
      </c>
      <c r="D338" s="0" t="n">
        <v>36</v>
      </c>
      <c r="E338" s="0" t="n">
        <v>12</v>
      </c>
      <c r="F338" s="114" t="n">
        <v>1</v>
      </c>
      <c r="G338" s="171" t="n">
        <f aca="false">Barrage[[#This Row],[Coefficient]]*Barrage[[#This Row],[Total Rounds]]*Barrage[[#This Row],[Base Damage]]</f>
        <v>432</v>
      </c>
      <c r="H338" s="0" t="s">
        <v>2602</v>
      </c>
      <c r="I338" s="114" t="n">
        <v>1</v>
      </c>
      <c r="J338" s="114" t="n">
        <v>1</v>
      </c>
      <c r="K338" s="114" t="n">
        <v>1</v>
      </c>
      <c r="L338" s="172"/>
      <c r="M338" s="184"/>
      <c r="N338" s="184"/>
      <c r="O338" s="184"/>
      <c r="P338" s="184"/>
      <c r="Q338" s="116"/>
      <c r="R338" s="0" t="s">
        <v>98</v>
      </c>
      <c r="T338" s="0" t="n">
        <v>1</v>
      </c>
    </row>
    <row r="339" customFormat="false" ht="14.4" hidden="false" customHeight="false" outlineLevel="0" collapsed="false">
      <c r="A339" s="0" t="s">
        <v>121</v>
      </c>
      <c r="B339" s="0" t="s">
        <v>1284</v>
      </c>
      <c r="C339" s="0" t="s">
        <v>1283</v>
      </c>
      <c r="D339" s="0" t="n">
        <v>54</v>
      </c>
      <c r="E339" s="0" t="n">
        <v>4</v>
      </c>
      <c r="F339" s="114" t="n">
        <v>1</v>
      </c>
      <c r="G339" s="171" t="n">
        <f aca="false">Barrage[[#This Row],[Coefficient]]*Barrage[[#This Row],[Total Rounds]]*Barrage[[#This Row],[Base Damage]]</f>
        <v>216</v>
      </c>
      <c r="H339" s="0" t="s">
        <v>2621</v>
      </c>
      <c r="I339" s="114" t="n">
        <v>0.7</v>
      </c>
      <c r="J339" s="114" t="n">
        <v>0.9</v>
      </c>
      <c r="K339" s="114" t="n">
        <v>1.2</v>
      </c>
      <c r="L339" s="172"/>
      <c r="M339" s="184"/>
      <c r="N339" s="184"/>
      <c r="O339" s="184"/>
      <c r="P339" s="184"/>
      <c r="Q339" s="116"/>
      <c r="R339" s="0" t="s">
        <v>99</v>
      </c>
      <c r="T339" s="0" t="n">
        <v>1</v>
      </c>
    </row>
    <row r="340" customFormat="false" ht="14.4" hidden="false" customHeight="false" outlineLevel="0" collapsed="false">
      <c r="A340" s="0" t="s">
        <v>74</v>
      </c>
      <c r="B340" s="0" t="s">
        <v>1007</v>
      </c>
      <c r="C340" s="0" t="s">
        <v>1036</v>
      </c>
      <c r="D340" s="0" t="n">
        <v>12</v>
      </c>
      <c r="E340" s="0" t="n">
        <v>24</v>
      </c>
      <c r="F340" s="114" t="n">
        <v>1</v>
      </c>
      <c r="G340" s="171" t="n">
        <f aca="false">Barrage[[#This Row],[Coefficient]]*Barrage[[#This Row],[Total Rounds]]*Barrage[[#This Row],[Base Damage]]</f>
        <v>288</v>
      </c>
      <c r="H340" s="0" t="s">
        <v>2602</v>
      </c>
      <c r="I340" s="114" t="n">
        <v>1</v>
      </c>
      <c r="J340" s="114" t="n">
        <v>0.75</v>
      </c>
      <c r="K340" s="114" t="n">
        <v>0.4</v>
      </c>
      <c r="L340" s="172"/>
      <c r="M340" s="184"/>
      <c r="N340" s="184"/>
      <c r="O340" s="184"/>
      <c r="P340" s="184"/>
      <c r="Q340" s="116"/>
      <c r="R340" s="0" t="s">
        <v>98</v>
      </c>
      <c r="T340" s="0" t="n">
        <v>1</v>
      </c>
    </row>
    <row r="341" customFormat="false" ht="14.4" hidden="false" customHeight="false" outlineLevel="0" collapsed="false">
      <c r="A341" s="0" t="s">
        <v>394</v>
      </c>
      <c r="B341" s="0" t="s">
        <v>1534</v>
      </c>
      <c r="C341" s="0" t="s">
        <v>1533</v>
      </c>
      <c r="D341" s="0" t="n">
        <v>40</v>
      </c>
      <c r="E341" s="0" t="n">
        <v>8</v>
      </c>
      <c r="F341" s="114" t="n">
        <v>1</v>
      </c>
      <c r="G341" s="171" t="n">
        <f aca="false">Barrage[[#This Row],[Coefficient]]*Barrage[[#This Row],[Total Rounds]]*Barrage[[#This Row],[Base Damage]]</f>
        <v>320</v>
      </c>
      <c r="H341" s="190" t="s">
        <v>2731</v>
      </c>
      <c r="I341" s="114" t="n">
        <v>0.65</v>
      </c>
      <c r="J341" s="114" t="n">
        <v>1.25</v>
      </c>
      <c r="K341" s="114" t="n">
        <v>0.65</v>
      </c>
      <c r="L341" s="172"/>
      <c r="M341" s="184"/>
      <c r="N341" s="184"/>
      <c r="O341" s="184"/>
      <c r="P341" s="184"/>
      <c r="Q341" s="116"/>
      <c r="R341" s="0" t="s">
        <v>98</v>
      </c>
      <c r="T341" s="0" t="n">
        <v>1</v>
      </c>
    </row>
    <row r="342" customFormat="false" ht="14.4" hidden="false" customHeight="false" outlineLevel="0" collapsed="false">
      <c r="A342" s="0" t="s">
        <v>394</v>
      </c>
      <c r="B342" s="0" t="s">
        <v>1533</v>
      </c>
      <c r="C342" s="0" t="s">
        <v>1533</v>
      </c>
      <c r="D342" s="0" t="n">
        <v>20</v>
      </c>
      <c r="E342" s="0" t="n">
        <v>18</v>
      </c>
      <c r="F342" s="114" t="n">
        <v>1</v>
      </c>
      <c r="G342" s="171" t="n">
        <f aca="false">Barrage[[#This Row],[Coefficient]]*Barrage[[#This Row],[Total Rounds]]*Barrage[[#This Row],[Base Damage]]</f>
        <v>360</v>
      </c>
      <c r="H342" s="175" t="s">
        <v>2612</v>
      </c>
      <c r="I342" s="114" t="n">
        <v>1.35</v>
      </c>
      <c r="J342" s="114" t="n">
        <v>0.95</v>
      </c>
      <c r="K342" s="114" t="n">
        <v>0.7</v>
      </c>
      <c r="L342" s="172"/>
      <c r="M342" s="184"/>
      <c r="N342" s="184"/>
      <c r="O342" s="184"/>
      <c r="P342" s="184"/>
      <c r="Q342" s="116"/>
      <c r="R342" s="0" t="s">
        <v>98</v>
      </c>
      <c r="T342" s="0" t="n">
        <v>1</v>
      </c>
    </row>
    <row r="343" customFormat="false" ht="14.4" hidden="false" customHeight="false" outlineLevel="0" collapsed="false">
      <c r="A343" s="0" t="s">
        <v>121</v>
      </c>
      <c r="B343" s="0" t="s">
        <v>1291</v>
      </c>
      <c r="C343" s="0" t="s">
        <v>1289</v>
      </c>
      <c r="D343" s="0" t="n">
        <v>32</v>
      </c>
      <c r="E343" s="0" t="n">
        <v>16</v>
      </c>
      <c r="F343" s="114" t="n">
        <v>1</v>
      </c>
      <c r="G343" s="171" t="n">
        <f aca="false">Barrage[[#This Row],[Coefficient]]*Barrage[[#This Row],[Total Rounds]]*Barrage[[#This Row],[Base Damage]]</f>
        <v>512</v>
      </c>
      <c r="H343" s="175" t="s">
        <v>2612</v>
      </c>
      <c r="I343" s="114" t="n">
        <v>1.45</v>
      </c>
      <c r="J343" s="114" t="n">
        <v>1.05</v>
      </c>
      <c r="K343" s="114" t="n">
        <v>0.7</v>
      </c>
      <c r="L343" s="172"/>
      <c r="M343" s="184"/>
      <c r="N343" s="184"/>
      <c r="O343" s="184"/>
      <c r="P343" s="184"/>
      <c r="Q343" s="116"/>
      <c r="R343" s="0" t="s">
        <v>98</v>
      </c>
      <c r="T343" s="0" t="n">
        <v>1</v>
      </c>
    </row>
    <row r="344" customFormat="false" ht="14.4" hidden="false" customHeight="false" outlineLevel="0" collapsed="false">
      <c r="A344" s="0" t="s">
        <v>114</v>
      </c>
      <c r="B344" s="0" t="s">
        <v>2033</v>
      </c>
      <c r="C344" s="0" t="s">
        <v>2033</v>
      </c>
      <c r="D344" s="0" t="n">
        <v>170</v>
      </c>
      <c r="E344" s="0" t="n">
        <v>8</v>
      </c>
      <c r="F344" s="114" t="n">
        <v>1</v>
      </c>
      <c r="G344" s="171" t="n">
        <f aca="false">Barrage[[#This Row],[Coefficient]]*Barrage[[#This Row],[Total Rounds]]*Barrage[[#This Row],[Base Damage]]</f>
        <v>1360</v>
      </c>
      <c r="H344" s="175" t="s">
        <v>2612</v>
      </c>
      <c r="I344" s="114" t="n">
        <v>1</v>
      </c>
      <c r="J344" s="114" t="n">
        <v>0.8</v>
      </c>
      <c r="K344" s="114" t="n">
        <v>0.6</v>
      </c>
      <c r="L344" s="172" t="n">
        <v>0.7</v>
      </c>
      <c r="M344" s="184"/>
      <c r="N344" s="192"/>
      <c r="O344" s="184"/>
      <c r="P344" s="184"/>
      <c r="Q344" s="116"/>
      <c r="R344" s="0" t="s">
        <v>98</v>
      </c>
      <c r="T344" s="0" t="n">
        <v>1</v>
      </c>
    </row>
    <row r="345" customFormat="false" ht="14.4" hidden="false" customHeight="false" outlineLevel="0" collapsed="false">
      <c r="A345" s="0" t="s">
        <v>114</v>
      </c>
      <c r="B345" s="0" t="s">
        <v>2034</v>
      </c>
      <c r="C345" s="0" t="s">
        <v>2033</v>
      </c>
      <c r="D345" s="0" t="n">
        <v>20</v>
      </c>
      <c r="E345" s="0" t="n">
        <v>30</v>
      </c>
      <c r="F345" s="114" t="n">
        <v>1</v>
      </c>
      <c r="G345" s="171" t="n">
        <f aca="false">Barrage[[#This Row],[Coefficient]]*Barrage[[#This Row],[Total Rounds]]*Barrage[[#This Row],[Base Damage]]</f>
        <v>600</v>
      </c>
      <c r="H345" s="175" t="s">
        <v>2612</v>
      </c>
      <c r="I345" s="114" t="n">
        <v>1.2</v>
      </c>
      <c r="J345" s="114" t="n">
        <v>0.6</v>
      </c>
      <c r="K345" s="114" t="n">
        <v>0.6</v>
      </c>
      <c r="L345" s="172"/>
      <c r="M345" s="184"/>
      <c r="N345" s="184"/>
      <c r="O345" s="184"/>
      <c r="P345" s="184"/>
      <c r="Q345" s="116"/>
      <c r="R345" s="0" t="s">
        <v>98</v>
      </c>
      <c r="T345" s="0" t="n">
        <v>1</v>
      </c>
    </row>
    <row r="346" customFormat="false" ht="14.4" hidden="false" customHeight="false" outlineLevel="0" collapsed="false">
      <c r="A346" s="0" t="s">
        <v>121</v>
      </c>
      <c r="B346" s="0" t="s">
        <v>1325</v>
      </c>
      <c r="C346" s="0" t="s">
        <v>1324</v>
      </c>
      <c r="D346" s="0" t="n">
        <v>18</v>
      </c>
      <c r="E346" s="0" t="n">
        <v>20</v>
      </c>
      <c r="F346" s="114" t="n">
        <v>1</v>
      </c>
      <c r="G346" s="171" t="n">
        <f aca="false">Barrage[[#This Row],[Coefficient]]*Barrage[[#This Row],[Total Rounds]]*Barrage[[#This Row],[Base Damage]]</f>
        <v>360</v>
      </c>
      <c r="H346" s="175" t="s">
        <v>2612</v>
      </c>
      <c r="I346" s="114" t="n">
        <v>1.3</v>
      </c>
      <c r="J346" s="114" t="n">
        <v>0.9</v>
      </c>
      <c r="K346" s="114" t="n">
        <v>0.6</v>
      </c>
      <c r="L346" s="172"/>
      <c r="M346" s="184"/>
      <c r="N346" s="184"/>
      <c r="O346" s="184"/>
      <c r="P346" s="184"/>
      <c r="Q346" s="116"/>
      <c r="R346" s="0" t="s">
        <v>98</v>
      </c>
      <c r="T346" s="0" t="n">
        <v>1</v>
      </c>
    </row>
    <row r="347" customFormat="false" ht="14.4" hidden="false" customHeight="false" outlineLevel="0" collapsed="false">
      <c r="A347" s="0" t="s">
        <v>121</v>
      </c>
      <c r="B347" s="0" t="s">
        <v>1324</v>
      </c>
      <c r="C347" s="0" t="s">
        <v>1324</v>
      </c>
      <c r="D347" s="0" t="n">
        <v>20</v>
      </c>
      <c r="E347" s="0" t="n">
        <v>6</v>
      </c>
      <c r="F347" s="114" t="n">
        <v>1</v>
      </c>
      <c r="G347" s="171" t="n">
        <f aca="false">Barrage[[#This Row],[Coefficient]]*Barrage[[#This Row],[Total Rounds]]*Barrage[[#This Row],[Base Damage]]</f>
        <v>120</v>
      </c>
      <c r="H347" s="175" t="s">
        <v>2612</v>
      </c>
      <c r="I347" s="114" t="n">
        <v>1</v>
      </c>
      <c r="J347" s="114" t="n">
        <v>1</v>
      </c>
      <c r="K347" s="114" t="n">
        <v>1</v>
      </c>
      <c r="L347" s="172"/>
      <c r="M347" s="184"/>
      <c r="N347" s="184"/>
      <c r="O347" s="184"/>
      <c r="P347" s="184"/>
      <c r="Q347" s="116"/>
      <c r="R347" s="0" t="s">
        <v>98</v>
      </c>
      <c r="T347" s="0" t="n">
        <v>1</v>
      </c>
    </row>
    <row r="348" customFormat="false" ht="14.4" hidden="false" customHeight="false" outlineLevel="0" collapsed="false">
      <c r="A348" s="0" t="s">
        <v>2123</v>
      </c>
      <c r="B348" s="0" t="s">
        <v>2153</v>
      </c>
      <c r="C348" s="0" t="s">
        <v>2152</v>
      </c>
      <c r="D348" s="0" t="n">
        <v>28</v>
      </c>
      <c r="E348" s="0" t="n">
        <v>14</v>
      </c>
      <c r="F348" s="114" t="n">
        <v>1</v>
      </c>
      <c r="G348" s="171" t="n">
        <f aca="false">Barrage[[#This Row],[Coefficient]]*Barrage[[#This Row],[Total Rounds]]*Barrage[[#This Row],[Base Damage]]</f>
        <v>392</v>
      </c>
      <c r="H348" s="174" t="s">
        <v>2611</v>
      </c>
      <c r="I348" s="114" t="n">
        <v>0.4</v>
      </c>
      <c r="J348" s="114" t="n">
        <v>1.25</v>
      </c>
      <c r="K348" s="114" t="n">
        <v>1.2</v>
      </c>
      <c r="L348" s="172"/>
      <c r="M348" s="184"/>
      <c r="N348" s="184"/>
      <c r="O348" s="184"/>
      <c r="P348" s="184"/>
      <c r="Q348" s="116"/>
      <c r="R348" s="0" t="s">
        <v>98</v>
      </c>
      <c r="T348" s="0" t="n">
        <v>1</v>
      </c>
    </row>
    <row r="349" customFormat="false" ht="14.4" hidden="false" customHeight="false" outlineLevel="0" collapsed="false">
      <c r="A349" s="0" t="s">
        <v>2123</v>
      </c>
      <c r="B349" s="0" t="s">
        <v>2154</v>
      </c>
      <c r="C349" s="0" t="s">
        <v>2152</v>
      </c>
      <c r="D349" s="0" t="n">
        <v>20</v>
      </c>
      <c r="E349" s="0" t="n">
        <v>44</v>
      </c>
      <c r="F349" s="114" t="n">
        <v>1</v>
      </c>
      <c r="G349" s="171" t="n">
        <f aca="false">Barrage[[#This Row],[Coefficient]]*Barrage[[#This Row],[Total Rounds]]*Barrage[[#This Row],[Base Damage]]</f>
        <v>880</v>
      </c>
      <c r="H349" s="175" t="s">
        <v>2612</v>
      </c>
      <c r="I349" s="114" t="n">
        <v>1.2</v>
      </c>
      <c r="J349" s="114" t="n">
        <v>0.6</v>
      </c>
      <c r="K349" s="114" t="n">
        <v>0.6</v>
      </c>
      <c r="L349" s="172"/>
      <c r="M349" s="184"/>
      <c r="N349" s="184"/>
      <c r="O349" s="184"/>
      <c r="P349" s="184"/>
      <c r="Q349" s="116"/>
      <c r="R349" s="0" t="s">
        <v>98</v>
      </c>
      <c r="T349" s="0" t="n">
        <v>1</v>
      </c>
    </row>
    <row r="350" customFormat="false" ht="14.4" hidden="false" customHeight="false" outlineLevel="0" collapsed="false">
      <c r="A350" s="0" t="s">
        <v>2123</v>
      </c>
      <c r="B350" s="0" t="s">
        <v>2119</v>
      </c>
      <c r="C350" s="0" t="s">
        <v>2152</v>
      </c>
      <c r="D350" s="0" t="n">
        <v>96</v>
      </c>
      <c r="E350" s="0" t="n">
        <v>4</v>
      </c>
      <c r="F350" s="114" t="n">
        <v>1</v>
      </c>
      <c r="G350" s="171" t="n">
        <f aca="false">Barrage[[#This Row],[Coefficient]]*Barrage[[#This Row],[Total Rounds]]*Barrage[[#This Row],[Base Damage]]</f>
        <v>384</v>
      </c>
      <c r="H350" s="0" t="s">
        <v>2621</v>
      </c>
      <c r="I350" s="114" t="n">
        <v>0.7</v>
      </c>
      <c r="J350" s="114" t="n">
        <v>0.9</v>
      </c>
      <c r="K350" s="114" t="n">
        <v>1.2</v>
      </c>
      <c r="L350" s="172"/>
      <c r="M350" s="184"/>
      <c r="N350" s="184"/>
      <c r="O350" s="184"/>
      <c r="P350" s="184"/>
      <c r="Q350" s="116"/>
      <c r="R350" s="0" t="s">
        <v>99</v>
      </c>
      <c r="T350" s="0" t="n">
        <v>1</v>
      </c>
    </row>
    <row r="351" customFormat="false" ht="14.4" hidden="false" customHeight="false" outlineLevel="0" collapsed="false">
      <c r="A351" s="0" t="s">
        <v>2123</v>
      </c>
      <c r="B351" s="0" t="s">
        <v>1779</v>
      </c>
      <c r="C351" s="0" t="s">
        <v>2152</v>
      </c>
      <c r="D351" s="0" t="n">
        <v>380</v>
      </c>
      <c r="E351" s="0" t="n">
        <v>6</v>
      </c>
      <c r="F351" s="114" t="n">
        <v>1</v>
      </c>
      <c r="G351" s="171" t="n">
        <f aca="false">Barrage[[#This Row],[Coefficient]]*Barrage[[#This Row],[Total Rounds]]*Barrage[[#This Row],[Base Damage]]</f>
        <v>2280</v>
      </c>
      <c r="H351" s="0" t="s">
        <v>2704</v>
      </c>
      <c r="I351" s="114" t="n">
        <v>0.8</v>
      </c>
      <c r="J351" s="114" t="n">
        <v>0.9</v>
      </c>
      <c r="K351" s="114" t="n">
        <v>1.1</v>
      </c>
      <c r="L351" s="172"/>
      <c r="M351" s="184"/>
      <c r="N351" s="184"/>
      <c r="O351" s="184"/>
      <c r="P351" s="184"/>
      <c r="Q351" s="116"/>
      <c r="R351" s="0" t="s">
        <v>2705</v>
      </c>
      <c r="T351" s="0" t="n">
        <v>0.8</v>
      </c>
    </row>
    <row r="352" customFormat="false" ht="14.4" hidden="false" customHeight="false" outlineLevel="0" collapsed="false">
      <c r="A352" s="0" t="s">
        <v>2123</v>
      </c>
      <c r="B352" s="0" t="s">
        <v>2241</v>
      </c>
      <c r="C352" s="0" t="s">
        <v>2240</v>
      </c>
      <c r="D352" s="0" t="n">
        <v>240</v>
      </c>
      <c r="E352" s="0" t="n">
        <v>6</v>
      </c>
      <c r="F352" s="114" t="n">
        <v>1</v>
      </c>
      <c r="G352" s="171" t="n">
        <f aca="false">Barrage[[#This Row],[Coefficient]]*Barrage[[#This Row],[Total Rounds]]*Barrage[[#This Row],[Base Damage]]</f>
        <v>1440</v>
      </c>
      <c r="H352" s="0" t="s">
        <v>2621</v>
      </c>
      <c r="I352" s="114" t="n">
        <v>1</v>
      </c>
      <c r="J352" s="114" t="n">
        <v>0.8</v>
      </c>
      <c r="K352" s="114" t="n">
        <v>0.6</v>
      </c>
      <c r="L352" s="172"/>
      <c r="M352" s="184"/>
      <c r="N352" s="184"/>
      <c r="O352" s="184"/>
      <c r="P352" s="184"/>
      <c r="Q352" s="116"/>
      <c r="R352" s="0" t="s">
        <v>2705</v>
      </c>
      <c r="T352" s="0" t="n">
        <v>1</v>
      </c>
    </row>
    <row r="353" customFormat="false" ht="14.4" hidden="false" customHeight="false" outlineLevel="0" collapsed="false">
      <c r="A353" s="0" t="s">
        <v>2123</v>
      </c>
      <c r="B353" s="0" t="s">
        <v>2242</v>
      </c>
      <c r="C353" s="0" t="s">
        <v>2240</v>
      </c>
      <c r="D353" s="0" t="n">
        <v>96</v>
      </c>
      <c r="E353" s="0" t="n">
        <v>1</v>
      </c>
      <c r="F353" s="114" t="n">
        <v>1</v>
      </c>
      <c r="G353" s="171" t="n">
        <f aca="false">Barrage[[#This Row],[Coefficient]]*Barrage[[#This Row],[Total Rounds]]*Barrage[[#This Row],[Base Damage]]</f>
        <v>96</v>
      </c>
      <c r="H353" s="0" t="s">
        <v>2743</v>
      </c>
      <c r="I353" s="114" t="n">
        <v>1</v>
      </c>
      <c r="J353" s="114" t="n">
        <v>1</v>
      </c>
      <c r="K353" s="114" t="n">
        <v>1</v>
      </c>
      <c r="L353" s="172"/>
      <c r="M353" s="184"/>
      <c r="N353" s="184"/>
      <c r="O353" s="184"/>
      <c r="P353" s="184"/>
      <c r="Q353" s="116"/>
      <c r="R353" s="0" t="s">
        <v>2705</v>
      </c>
      <c r="T353" s="0" t="n">
        <v>1</v>
      </c>
    </row>
    <row r="354" customFormat="false" ht="14.4" hidden="false" customHeight="false" outlineLevel="0" collapsed="false">
      <c r="A354" s="0" t="s">
        <v>74</v>
      </c>
      <c r="B354" s="0" t="s">
        <v>629</v>
      </c>
      <c r="C354" s="0" t="s">
        <v>628</v>
      </c>
      <c r="D354" s="0" t="n">
        <v>10</v>
      </c>
      <c r="E354" s="0" t="n">
        <v>30</v>
      </c>
      <c r="F354" s="114" t="n">
        <v>1</v>
      </c>
      <c r="G354" s="171" t="n">
        <f aca="false">Barrage[[#This Row],[Coefficient]]*Barrage[[#This Row],[Total Rounds]]*Barrage[[#This Row],[Base Damage]]</f>
        <v>300</v>
      </c>
      <c r="H354" s="0" t="s">
        <v>2602</v>
      </c>
      <c r="I354" s="114" t="n">
        <v>1</v>
      </c>
      <c r="J354" s="114" t="n">
        <v>0.75</v>
      </c>
      <c r="K354" s="114" t="n">
        <v>0.45</v>
      </c>
      <c r="L354" s="172"/>
      <c r="M354" s="184"/>
      <c r="N354" s="184"/>
      <c r="O354" s="184"/>
      <c r="P354" s="184"/>
      <c r="Q354" s="116"/>
      <c r="R354" s="0" t="s">
        <v>98</v>
      </c>
      <c r="T354" s="0" t="n">
        <v>1</v>
      </c>
    </row>
    <row r="355" customFormat="false" ht="14.4" hidden="false" customHeight="false" outlineLevel="0" collapsed="false">
      <c r="A355" s="0" t="s">
        <v>74</v>
      </c>
      <c r="B355" s="0" t="s">
        <v>630</v>
      </c>
      <c r="C355" s="0" t="s">
        <v>628</v>
      </c>
      <c r="D355" s="0" t="n">
        <v>24</v>
      </c>
      <c r="E355" s="0" t="n">
        <v>17</v>
      </c>
      <c r="F355" s="114" t="n">
        <v>1</v>
      </c>
      <c r="G355" s="171" t="n">
        <f aca="false">Barrage[[#This Row],[Coefficient]]*Barrage[[#This Row],[Total Rounds]]*Barrage[[#This Row],[Base Damage]]</f>
        <v>408</v>
      </c>
      <c r="H355" s="174" t="s">
        <v>2611</v>
      </c>
      <c r="I355" s="114" t="n">
        <v>1</v>
      </c>
      <c r="J355" s="114" t="n">
        <v>1</v>
      </c>
      <c r="K355" s="114" t="n">
        <v>1</v>
      </c>
      <c r="L355" s="172"/>
      <c r="M355" s="184"/>
      <c r="N355" s="184"/>
      <c r="O355" s="184"/>
      <c r="P355" s="184"/>
      <c r="Q355" s="116"/>
      <c r="R355" s="0" t="s">
        <v>98</v>
      </c>
      <c r="T355" s="0" t="n">
        <v>1</v>
      </c>
    </row>
    <row r="356" customFormat="false" ht="14.4" hidden="false" customHeight="false" outlineLevel="0" collapsed="false">
      <c r="A356" s="0" t="s">
        <v>114</v>
      </c>
      <c r="B356" s="0" t="s">
        <v>1821</v>
      </c>
      <c r="C356" s="0" t="s">
        <v>1819</v>
      </c>
      <c r="D356" s="0" t="n">
        <v>170</v>
      </c>
      <c r="E356" s="0" t="n">
        <v>3</v>
      </c>
      <c r="F356" s="114" t="n">
        <v>1.1</v>
      </c>
      <c r="G356" s="171" t="n">
        <f aca="false">Barrage[[#This Row],[Coefficient]]*Barrage[[#This Row],[Total Rounds]]*Barrage[[#This Row],[Base Damage]]</f>
        <v>561</v>
      </c>
      <c r="H356" s="174" t="s">
        <v>2611</v>
      </c>
      <c r="I356" s="114" t="n">
        <v>0.3</v>
      </c>
      <c r="J356" s="114" t="n">
        <v>1.3</v>
      </c>
      <c r="K356" s="114" t="n">
        <v>1.1</v>
      </c>
      <c r="L356" s="172"/>
      <c r="M356" s="184"/>
      <c r="N356" s="184"/>
      <c r="O356" s="184"/>
      <c r="P356" s="184"/>
      <c r="Q356" s="116"/>
      <c r="R356" s="0" t="s">
        <v>98</v>
      </c>
      <c r="T356" s="0" t="n">
        <v>1</v>
      </c>
      <c r="U356" s="0" t="s">
        <v>2744</v>
      </c>
    </row>
    <row r="357" customFormat="false" ht="14.4" hidden="false" customHeight="false" outlineLevel="0" collapsed="false">
      <c r="A357" s="0" t="s">
        <v>114</v>
      </c>
      <c r="B357" s="0" t="s">
        <v>1822</v>
      </c>
      <c r="C357" s="0" t="s">
        <v>1819</v>
      </c>
      <c r="D357" s="0" t="n">
        <v>36</v>
      </c>
      <c r="E357" s="0" t="n">
        <v>16</v>
      </c>
      <c r="F357" s="114" t="n">
        <v>1</v>
      </c>
      <c r="G357" s="171" t="n">
        <f aca="false">Barrage[[#This Row],[Coefficient]]*Barrage[[#This Row],[Total Rounds]]*Barrage[[#This Row],[Base Damage]]</f>
        <v>576</v>
      </c>
      <c r="H357" s="174" t="s">
        <v>2611</v>
      </c>
      <c r="I357" s="114" t="n">
        <v>0.9</v>
      </c>
      <c r="J357" s="114" t="n">
        <v>0.7</v>
      </c>
      <c r="K357" s="114" t="n">
        <v>0.4</v>
      </c>
      <c r="L357" s="172"/>
      <c r="M357" s="184"/>
      <c r="N357" s="184"/>
      <c r="O357" s="184"/>
      <c r="P357" s="184"/>
      <c r="Q357" s="116"/>
      <c r="R357" s="0" t="s">
        <v>98</v>
      </c>
      <c r="T357" s="0" t="n">
        <v>1</v>
      </c>
    </row>
    <row r="358" customFormat="false" ht="14.4" hidden="false" customHeight="false" outlineLevel="0" collapsed="false">
      <c r="A358" s="0" t="s">
        <v>114</v>
      </c>
      <c r="B358" s="0" t="s">
        <v>2012</v>
      </c>
      <c r="C358" s="0" t="s">
        <v>2012</v>
      </c>
      <c r="D358" s="0" t="n">
        <v>92</v>
      </c>
      <c r="E358" s="0" t="n">
        <v>24</v>
      </c>
      <c r="F358" s="114" t="n">
        <v>1</v>
      </c>
      <c r="G358" s="171" t="n">
        <f aca="false">Barrage[[#This Row],[Coefficient]]*Barrage[[#This Row],[Total Rounds]]*Barrage[[#This Row],[Base Damage]]</f>
        <v>2208</v>
      </c>
      <c r="H358" s="0" t="s">
        <v>2602</v>
      </c>
      <c r="I358" s="114" t="n">
        <v>1</v>
      </c>
      <c r="J358" s="114" t="n">
        <v>0.8</v>
      </c>
      <c r="K358" s="114" t="n">
        <v>0.6</v>
      </c>
      <c r="L358" s="172"/>
      <c r="M358" s="184"/>
      <c r="N358" s="184"/>
      <c r="O358" s="184"/>
      <c r="P358" s="184"/>
      <c r="Q358" s="116"/>
      <c r="R358" s="0" t="s">
        <v>98</v>
      </c>
      <c r="T358" s="0" t="n">
        <v>1</v>
      </c>
    </row>
    <row r="359" customFormat="false" ht="14.4" hidden="false" customHeight="false" outlineLevel="0" collapsed="false">
      <c r="A359" s="0" t="s">
        <v>114</v>
      </c>
      <c r="B359" s="0" t="s">
        <v>2013</v>
      </c>
      <c r="C359" s="0" t="s">
        <v>2012</v>
      </c>
      <c r="D359" s="0" t="n">
        <v>240</v>
      </c>
      <c r="E359" s="0" t="n">
        <v>1</v>
      </c>
      <c r="F359" s="114" t="n">
        <v>1</v>
      </c>
      <c r="G359" s="171" t="n">
        <f aca="false">Barrage[[#This Row],[Coefficient]]*Barrage[[#This Row],[Total Rounds]]*Barrage[[#This Row],[Base Damage]]</f>
        <v>240</v>
      </c>
      <c r="H359" s="174" t="s">
        <v>2611</v>
      </c>
      <c r="I359" s="114" t="n">
        <v>1.5</v>
      </c>
      <c r="J359" s="114" t="n">
        <v>1.5</v>
      </c>
      <c r="K359" s="114" t="n">
        <v>1.5</v>
      </c>
      <c r="L359" s="172"/>
      <c r="M359" s="184"/>
      <c r="N359" s="184"/>
      <c r="O359" s="184"/>
      <c r="P359" s="184"/>
      <c r="Q359" s="116"/>
      <c r="R359" s="0" t="s">
        <v>98</v>
      </c>
      <c r="T359" s="0" t="n">
        <v>1</v>
      </c>
    </row>
    <row r="360" customFormat="false" ht="14.4" hidden="false" customHeight="false" outlineLevel="0" collapsed="false">
      <c r="A360" s="0" t="s">
        <v>114</v>
      </c>
      <c r="B360" s="0" t="s">
        <v>2014</v>
      </c>
      <c r="C360" s="0" t="s">
        <v>2012</v>
      </c>
      <c r="D360" s="0" t="n">
        <v>21</v>
      </c>
      <c r="E360" s="0" t="n">
        <v>4</v>
      </c>
      <c r="F360" s="114" t="n">
        <v>1.15</v>
      </c>
      <c r="G360" s="171" t="n">
        <f aca="false">Barrage[[#This Row],[Coefficient]]*Barrage[[#This Row],[Total Rounds]]*Barrage[[#This Row],[Base Damage]]</f>
        <v>96.6</v>
      </c>
      <c r="H360" s="174" t="s">
        <v>2611</v>
      </c>
      <c r="I360" s="114" t="n">
        <v>1</v>
      </c>
      <c r="J360" s="114" t="n">
        <v>1</v>
      </c>
      <c r="K360" s="114" t="n">
        <v>1</v>
      </c>
      <c r="L360" s="172"/>
      <c r="M360" s="184"/>
      <c r="N360" s="184"/>
      <c r="O360" s="184"/>
      <c r="P360" s="184"/>
      <c r="Q360" s="116" t="n">
        <v>1</v>
      </c>
      <c r="R360" s="0" t="s">
        <v>98</v>
      </c>
      <c r="T360" s="0" t="n">
        <v>1</v>
      </c>
    </row>
    <row r="361" customFormat="false" ht="14.4" hidden="false" customHeight="false" outlineLevel="0" collapsed="false">
      <c r="A361" s="0" t="s">
        <v>114</v>
      </c>
      <c r="B361" s="0" t="s">
        <v>2015</v>
      </c>
      <c r="C361" s="0" t="s">
        <v>2012</v>
      </c>
      <c r="D361" s="0" t="n">
        <v>21</v>
      </c>
      <c r="E361" s="0" t="n">
        <v>6</v>
      </c>
      <c r="F361" s="114" t="n">
        <v>1.15</v>
      </c>
      <c r="G361" s="171" t="n">
        <f aca="false">Barrage[[#This Row],[Coefficient]]*Barrage[[#This Row],[Total Rounds]]*Barrage[[#This Row],[Base Damage]]</f>
        <v>144.9</v>
      </c>
      <c r="H361" s="174" t="s">
        <v>2611</v>
      </c>
      <c r="I361" s="114" t="n">
        <v>1</v>
      </c>
      <c r="J361" s="114" t="n">
        <v>1</v>
      </c>
      <c r="K361" s="114" t="n">
        <v>1</v>
      </c>
      <c r="L361" s="172"/>
      <c r="M361" s="184"/>
      <c r="N361" s="184"/>
      <c r="O361" s="184"/>
      <c r="P361" s="184"/>
      <c r="Q361" s="116" t="n">
        <v>1</v>
      </c>
      <c r="R361" s="0" t="s">
        <v>98</v>
      </c>
      <c r="T361" s="0" t="n">
        <v>1</v>
      </c>
    </row>
    <row r="362" customFormat="false" ht="14.4" hidden="false" customHeight="false" outlineLevel="0" collapsed="false">
      <c r="A362" s="0" t="s">
        <v>394</v>
      </c>
      <c r="B362" s="0" t="s">
        <v>1585</v>
      </c>
      <c r="C362" s="0" t="s">
        <v>1584</v>
      </c>
      <c r="D362" s="0" t="n">
        <v>56</v>
      </c>
      <c r="E362" s="0" t="n">
        <v>12</v>
      </c>
      <c r="F362" s="114" t="n">
        <v>1.18</v>
      </c>
      <c r="G362" s="171" t="n">
        <f aca="false">Barrage[[#This Row],[Coefficient]]*Barrage[[#This Row],[Total Rounds]]*Barrage[[#This Row],[Base Damage]]</f>
        <v>792.96</v>
      </c>
      <c r="H362" s="175" t="s">
        <v>2612</v>
      </c>
      <c r="I362" s="114" t="n">
        <v>1</v>
      </c>
      <c r="J362" s="114" t="n">
        <v>1</v>
      </c>
      <c r="K362" s="114" t="n">
        <v>1</v>
      </c>
      <c r="L362" s="172"/>
      <c r="M362" s="184"/>
      <c r="N362" s="184"/>
      <c r="O362" s="184"/>
      <c r="P362" s="184"/>
      <c r="Q362" s="116"/>
      <c r="R362" s="0" t="s">
        <v>98</v>
      </c>
      <c r="T362" s="0" t="n">
        <v>1</v>
      </c>
    </row>
    <row r="363" customFormat="false" ht="14.4" hidden="false" customHeight="false" outlineLevel="0" collapsed="false">
      <c r="A363" s="0" t="s">
        <v>394</v>
      </c>
      <c r="B363" s="0" t="s">
        <v>1586</v>
      </c>
      <c r="C363" s="0" t="s">
        <v>1584</v>
      </c>
      <c r="D363" s="0" t="n">
        <v>35</v>
      </c>
      <c r="E363" s="0" t="n">
        <v>12</v>
      </c>
      <c r="F363" s="114" t="n">
        <v>1</v>
      </c>
      <c r="G363" s="171" t="n">
        <f aca="false">Barrage[[#This Row],[Coefficient]]*Barrage[[#This Row],[Total Rounds]]*Barrage[[#This Row],[Base Damage]]</f>
        <v>420</v>
      </c>
      <c r="H363" s="0" t="s">
        <v>2602</v>
      </c>
      <c r="I363" s="114" t="n">
        <v>1.35</v>
      </c>
      <c r="J363" s="114" t="n">
        <v>0.95</v>
      </c>
      <c r="K363" s="114" t="n">
        <v>0.7</v>
      </c>
      <c r="L363" s="172"/>
      <c r="M363" s="184"/>
      <c r="N363" s="184"/>
      <c r="O363" s="184"/>
      <c r="P363" s="184"/>
      <c r="Q363" s="116"/>
      <c r="R363" s="0" t="s">
        <v>98</v>
      </c>
      <c r="T363" s="0" t="n">
        <v>1</v>
      </c>
    </row>
    <row r="364" customFormat="false" ht="14.4" hidden="false" customHeight="false" outlineLevel="0" collapsed="false">
      <c r="A364" s="0" t="s">
        <v>394</v>
      </c>
      <c r="B364" s="0" t="s">
        <v>1606</v>
      </c>
      <c r="C364" s="0" t="s">
        <v>1605</v>
      </c>
      <c r="D364" s="0" t="n">
        <v>38</v>
      </c>
      <c r="E364" s="0" t="n">
        <v>18</v>
      </c>
      <c r="F364" s="114" t="n">
        <v>1</v>
      </c>
      <c r="G364" s="171" t="n">
        <f aca="false">Barrage[[#This Row],[Coefficient]]*Barrage[[#This Row],[Total Rounds]]*Barrage[[#This Row],[Base Damage]]</f>
        <v>684</v>
      </c>
      <c r="H364" s="0" t="s">
        <v>2602</v>
      </c>
      <c r="I364" s="114" t="n">
        <v>1.35</v>
      </c>
      <c r="J364" s="114" t="n">
        <v>0.95</v>
      </c>
      <c r="K364" s="114" t="n">
        <v>0.7</v>
      </c>
      <c r="L364" s="172"/>
      <c r="M364" s="184"/>
      <c r="N364" s="184"/>
      <c r="O364" s="184"/>
      <c r="P364" s="184"/>
      <c r="Q364" s="116"/>
      <c r="R364" s="0" t="s">
        <v>98</v>
      </c>
      <c r="T364" s="0" t="n">
        <v>1</v>
      </c>
    </row>
    <row r="365" customFormat="false" ht="14.4" hidden="false" customHeight="false" outlineLevel="0" collapsed="false">
      <c r="A365" s="0" t="s">
        <v>394</v>
      </c>
      <c r="B365" s="0" t="s">
        <v>1607</v>
      </c>
      <c r="C365" s="0" t="s">
        <v>1605</v>
      </c>
      <c r="D365" s="0" t="n">
        <v>38</v>
      </c>
      <c r="E365" s="0" t="n">
        <v>9</v>
      </c>
      <c r="F365" s="114" t="n">
        <v>1</v>
      </c>
      <c r="G365" s="171" t="n">
        <f aca="false">Barrage[[#This Row],[Coefficient]]*Barrage[[#This Row],[Total Rounds]]*Barrage[[#This Row],[Base Damage]]</f>
        <v>342</v>
      </c>
      <c r="H365" s="174" t="s">
        <v>2611</v>
      </c>
      <c r="I365" s="114" t="n">
        <v>0.75</v>
      </c>
      <c r="J365" s="114" t="n">
        <v>1.1</v>
      </c>
      <c r="K365" s="114" t="n">
        <v>0.75</v>
      </c>
      <c r="L365" s="172"/>
      <c r="M365" s="184"/>
      <c r="N365" s="184"/>
      <c r="O365" s="184"/>
      <c r="P365" s="184"/>
      <c r="Q365" s="116"/>
      <c r="R365" s="0" t="s">
        <v>98</v>
      </c>
      <c r="T365" s="0" t="n">
        <v>1</v>
      </c>
    </row>
    <row r="366" customFormat="false" ht="14.4" hidden="false" customHeight="false" outlineLevel="0" collapsed="false">
      <c r="A366" s="0" t="s">
        <v>394</v>
      </c>
      <c r="B366" s="0" t="s">
        <v>1608</v>
      </c>
      <c r="C366" s="0" t="s">
        <v>1605</v>
      </c>
      <c r="D366" s="0" t="n">
        <v>92</v>
      </c>
      <c r="E366" s="0" t="n">
        <v>3</v>
      </c>
      <c r="F366" s="114" t="n">
        <v>1</v>
      </c>
      <c r="G366" s="171" t="n">
        <f aca="false">Barrage[[#This Row],[Coefficient]]*Barrage[[#This Row],[Total Rounds]]*Barrage[[#This Row],[Base Damage]]</f>
        <v>276</v>
      </c>
      <c r="H366" s="175" t="s">
        <v>2612</v>
      </c>
      <c r="I366" s="114" t="n">
        <v>1</v>
      </c>
      <c r="J366" s="114" t="n">
        <v>1</v>
      </c>
      <c r="K366" s="114" t="n">
        <v>1</v>
      </c>
      <c r="L366" s="172"/>
      <c r="M366" s="184"/>
      <c r="N366" s="184"/>
      <c r="O366" s="184"/>
      <c r="P366" s="184"/>
      <c r="Q366" s="116"/>
      <c r="R366" s="0" t="s">
        <v>98</v>
      </c>
      <c r="T366" s="0" t="n">
        <v>1</v>
      </c>
    </row>
    <row r="367" customFormat="false" ht="14.4" hidden="false" customHeight="false" outlineLevel="0" collapsed="false">
      <c r="A367" s="0" t="s">
        <v>121</v>
      </c>
      <c r="B367" s="0" t="s">
        <v>1345</v>
      </c>
      <c r="C367" s="0" t="s">
        <v>1343</v>
      </c>
      <c r="D367" s="0" t="n">
        <v>36</v>
      </c>
      <c r="E367" s="0" t="n">
        <v>8</v>
      </c>
      <c r="F367" s="114" t="n">
        <v>1</v>
      </c>
      <c r="G367" s="171" t="n">
        <f aca="false">Barrage[[#This Row],[Coefficient]]*Barrage[[#This Row],[Total Rounds]]*Barrage[[#This Row],[Base Damage]]</f>
        <v>288</v>
      </c>
      <c r="H367" s="174" t="s">
        <v>2611</v>
      </c>
      <c r="I367" s="114" t="n">
        <v>0.9</v>
      </c>
      <c r="J367" s="114" t="n">
        <v>0.7</v>
      </c>
      <c r="K367" s="114" t="n">
        <v>0.4</v>
      </c>
      <c r="L367" s="172"/>
      <c r="M367" s="184"/>
      <c r="N367" s="184"/>
      <c r="O367" s="184"/>
      <c r="P367" s="184"/>
      <c r="Q367" s="116"/>
      <c r="R367" s="0" t="s">
        <v>98</v>
      </c>
      <c r="T367" s="0" t="n">
        <v>1</v>
      </c>
    </row>
    <row r="368" customFormat="false" ht="14.4" hidden="false" customHeight="false" outlineLevel="0" collapsed="false">
      <c r="A368" s="0" t="s">
        <v>121</v>
      </c>
      <c r="B368" s="0" t="s">
        <v>1346</v>
      </c>
      <c r="C368" s="0" t="s">
        <v>1343</v>
      </c>
      <c r="D368" s="0" t="n">
        <v>36</v>
      </c>
      <c r="E368" s="0" t="n">
        <v>8</v>
      </c>
      <c r="F368" s="114" t="n">
        <v>1</v>
      </c>
      <c r="G368" s="171" t="n">
        <f aca="false">Barrage[[#This Row],[Coefficient]]*Barrage[[#This Row],[Total Rounds]]*Barrage[[#This Row],[Base Damage]]</f>
        <v>288</v>
      </c>
      <c r="H368" s="175" t="s">
        <v>2612</v>
      </c>
      <c r="I368" s="114" t="n">
        <v>1.2</v>
      </c>
      <c r="J368" s="114" t="n">
        <v>0.6</v>
      </c>
      <c r="K368" s="114" t="n">
        <v>0.6</v>
      </c>
      <c r="L368" s="172"/>
      <c r="M368" s="184"/>
      <c r="N368" s="184"/>
      <c r="O368" s="184"/>
      <c r="P368" s="184"/>
      <c r="Q368" s="116"/>
      <c r="R368" s="0" t="s">
        <v>98</v>
      </c>
      <c r="T368" s="0" t="n">
        <v>1</v>
      </c>
    </row>
    <row r="369" customFormat="false" ht="14.4" hidden="false" customHeight="false" outlineLevel="0" collapsed="false">
      <c r="A369" s="0" t="s">
        <v>121</v>
      </c>
      <c r="B369" s="0" t="s">
        <v>1347</v>
      </c>
      <c r="C369" s="0" t="s">
        <v>1343</v>
      </c>
      <c r="D369" s="0" t="n">
        <v>36</v>
      </c>
      <c r="E369" s="0" t="n">
        <v>6</v>
      </c>
      <c r="F369" s="114" t="n">
        <v>1</v>
      </c>
      <c r="G369" s="171" t="n">
        <f aca="false">Barrage[[#This Row],[Coefficient]]*Barrage[[#This Row],[Total Rounds]]*Barrage[[#This Row],[Base Damage]]</f>
        <v>216</v>
      </c>
      <c r="H369" s="0" t="s">
        <v>2602</v>
      </c>
      <c r="I369" s="114" t="n">
        <v>2</v>
      </c>
      <c r="J369" s="114" t="n">
        <v>2</v>
      </c>
      <c r="K369" s="114" t="n">
        <v>2</v>
      </c>
      <c r="L369" s="172"/>
      <c r="M369" s="184"/>
      <c r="N369" s="184"/>
      <c r="O369" s="184"/>
      <c r="P369" s="184"/>
      <c r="Q369" s="116"/>
      <c r="R369" s="0" t="s">
        <v>98</v>
      </c>
      <c r="T369" s="0" t="n">
        <v>1</v>
      </c>
    </row>
    <row r="370" customFormat="false" ht="14.4" hidden="false" customHeight="false" outlineLevel="0" collapsed="false">
      <c r="A370" s="0" t="s">
        <v>121</v>
      </c>
      <c r="B370" s="0" t="s">
        <v>1348</v>
      </c>
      <c r="C370" s="0" t="s">
        <v>1343</v>
      </c>
      <c r="D370" s="0" t="n">
        <v>20</v>
      </c>
      <c r="E370" s="0" t="n">
        <v>40</v>
      </c>
      <c r="F370" s="114" t="n">
        <v>1</v>
      </c>
      <c r="G370" s="171" t="n">
        <f aca="false">Barrage[[#This Row],[Coefficient]]*Barrage[[#This Row],[Total Rounds]]*Barrage[[#This Row],[Base Damage]]</f>
        <v>800</v>
      </c>
      <c r="H370" s="175" t="s">
        <v>2612</v>
      </c>
      <c r="I370" s="114" t="n">
        <v>1.4</v>
      </c>
      <c r="J370" s="114" t="n">
        <v>0.9</v>
      </c>
      <c r="K370" s="114" t="n">
        <v>0.7</v>
      </c>
      <c r="L370" s="172"/>
      <c r="M370" s="184"/>
      <c r="N370" s="184"/>
      <c r="O370" s="184"/>
      <c r="P370" s="184"/>
      <c r="Q370" s="116"/>
      <c r="R370" s="0" t="s">
        <v>98</v>
      </c>
      <c r="T370" s="0" t="n">
        <v>1</v>
      </c>
    </row>
    <row r="371" customFormat="false" ht="14.4" hidden="false" customHeight="false" outlineLevel="0" collapsed="false">
      <c r="A371" s="0" t="s">
        <v>394</v>
      </c>
      <c r="B371" s="0" t="s">
        <v>1609</v>
      </c>
      <c r="C371" s="0" t="s">
        <v>1605</v>
      </c>
      <c r="D371" s="0" t="n">
        <v>10</v>
      </c>
      <c r="E371" s="0" t="n">
        <v>2</v>
      </c>
      <c r="F371" s="114" t="n">
        <v>1.25</v>
      </c>
      <c r="G371" s="171" t="n">
        <f aca="false">Barrage[[#This Row],[Coefficient]]*Barrage[[#This Row],[Total Rounds]]*Barrage[[#This Row],[Base Damage]]</f>
        <v>25</v>
      </c>
      <c r="H371" s="175" t="s">
        <v>2612</v>
      </c>
      <c r="I371" s="114" t="n">
        <v>1</v>
      </c>
      <c r="J371" s="114" t="n">
        <v>1</v>
      </c>
      <c r="K371" s="114" t="n">
        <v>1</v>
      </c>
      <c r="L371" s="172"/>
      <c r="M371" s="184"/>
      <c r="N371" s="184"/>
      <c r="O371" s="184"/>
      <c r="P371" s="184"/>
      <c r="Q371" s="116"/>
      <c r="R371" s="0" t="s">
        <v>98</v>
      </c>
      <c r="T371" s="0" t="n">
        <v>1</v>
      </c>
      <c r="U371" s="0" t="s">
        <v>2745</v>
      </c>
    </row>
    <row r="372" customFormat="false" ht="14.4" hidden="false" customHeight="false" outlineLevel="0" collapsed="false">
      <c r="A372" s="0" t="s">
        <v>114</v>
      </c>
      <c r="B372" s="0" t="s">
        <v>1905</v>
      </c>
      <c r="C372" s="0" t="s">
        <v>1905</v>
      </c>
      <c r="D372" s="0" t="n">
        <v>156</v>
      </c>
      <c r="E372" s="0" t="n">
        <v>4</v>
      </c>
      <c r="F372" s="114" t="n">
        <v>1.1</v>
      </c>
      <c r="G372" s="171" t="n">
        <f aca="false">Barrage[[#This Row],[Coefficient]]*Barrage[[#This Row],[Total Rounds]]*Barrage[[#This Row],[Base Damage]]</f>
        <v>686.4</v>
      </c>
      <c r="H372" s="175" t="s">
        <v>2612</v>
      </c>
      <c r="I372" s="114" t="n">
        <v>1.4</v>
      </c>
      <c r="J372" s="114" t="n">
        <v>1.1</v>
      </c>
      <c r="K372" s="114" t="n">
        <v>0.9</v>
      </c>
      <c r="L372" s="193" t="n">
        <v>0.5</v>
      </c>
      <c r="M372" s="194" t="n">
        <v>4</v>
      </c>
      <c r="N372" s="184"/>
      <c r="O372" s="184"/>
      <c r="P372" s="184"/>
      <c r="Q372" s="116"/>
      <c r="R372" s="0" t="s">
        <v>98</v>
      </c>
      <c r="T372" s="0" t="n">
        <v>1</v>
      </c>
    </row>
    <row r="373" customFormat="false" ht="14.4" hidden="false" customHeight="false" outlineLevel="0" collapsed="false">
      <c r="A373" s="0" t="s">
        <v>242</v>
      </c>
      <c r="B373" s="0" t="s">
        <v>2406</v>
      </c>
      <c r="C373" s="0" t="s">
        <v>2405</v>
      </c>
      <c r="D373" s="0" t="n">
        <v>335</v>
      </c>
      <c r="E373" s="0" t="n">
        <v>4</v>
      </c>
      <c r="F373" s="114" t="n">
        <v>1</v>
      </c>
      <c r="G373" s="171" t="n">
        <f aca="false">Barrage[[#This Row],[Coefficient]]*Barrage[[#This Row],[Total Rounds]]*Barrage[[#This Row],[Base Damage]]</f>
        <v>1340</v>
      </c>
      <c r="H373" s="0" t="s">
        <v>2704</v>
      </c>
      <c r="I373" s="114" t="n">
        <v>0.8</v>
      </c>
      <c r="J373" s="114" t="n">
        <v>0.85</v>
      </c>
      <c r="K373" s="114" t="n">
        <v>1</v>
      </c>
      <c r="L373" s="193"/>
      <c r="M373" s="194"/>
      <c r="N373" s="184"/>
      <c r="O373" s="184"/>
      <c r="P373" s="184"/>
      <c r="Q373" s="116"/>
      <c r="R373" s="0" t="s">
        <v>2705</v>
      </c>
      <c r="T373" s="0" t="n">
        <v>1</v>
      </c>
    </row>
    <row r="374" customFormat="false" ht="14.4" hidden="false" customHeight="false" outlineLevel="0" collapsed="false">
      <c r="A374" s="0" t="s">
        <v>242</v>
      </c>
      <c r="B374" s="0" t="s">
        <v>2407</v>
      </c>
      <c r="C374" s="0" t="s">
        <v>2405</v>
      </c>
      <c r="D374" s="0" t="n">
        <v>342</v>
      </c>
      <c r="E374" s="0" t="n">
        <v>6</v>
      </c>
      <c r="F374" s="114" t="n">
        <v>1</v>
      </c>
      <c r="G374" s="171" t="n">
        <f aca="false">Barrage[[#This Row],[Coefficient]]*Barrage[[#This Row],[Total Rounds]]*Barrage[[#This Row],[Base Damage]]</f>
        <v>2052</v>
      </c>
      <c r="H374" s="0" t="s">
        <v>2621</v>
      </c>
      <c r="I374" s="114" t="n">
        <v>0.8</v>
      </c>
      <c r="J374" s="114" t="n">
        <v>1.1</v>
      </c>
      <c r="K374" s="114" t="n">
        <v>1.3</v>
      </c>
      <c r="L374" s="193"/>
      <c r="M374" s="194"/>
      <c r="N374" s="184"/>
      <c r="O374" s="184"/>
      <c r="P374" s="184"/>
      <c r="Q374" s="116"/>
      <c r="R374" s="0" t="s">
        <v>2705</v>
      </c>
      <c r="T374" s="0" t="n">
        <v>1</v>
      </c>
    </row>
    <row r="375" customFormat="false" ht="14.4" hidden="false" customHeight="false" outlineLevel="0" collapsed="false">
      <c r="A375" s="0" t="s">
        <v>242</v>
      </c>
      <c r="B375" s="0" t="s">
        <v>2408</v>
      </c>
      <c r="C375" s="0" t="s">
        <v>2746</v>
      </c>
      <c r="D375" s="0" t="n">
        <v>402</v>
      </c>
      <c r="E375" s="0" t="n">
        <v>4</v>
      </c>
      <c r="F375" s="114" t="n">
        <v>1</v>
      </c>
      <c r="G375" s="171" t="n">
        <f aca="false">Barrage[[#This Row],[Coefficient]]*Barrage[[#This Row],[Total Rounds]]*Barrage[[#This Row],[Base Damage]]</f>
        <v>1608</v>
      </c>
      <c r="H375" s="0" t="s">
        <v>2704</v>
      </c>
      <c r="I375" s="114" t="n">
        <v>0.8</v>
      </c>
      <c r="J375" s="114" t="n">
        <v>0.85</v>
      </c>
      <c r="K375" s="114" t="n">
        <v>1</v>
      </c>
      <c r="L375" s="193"/>
      <c r="M375" s="194"/>
      <c r="N375" s="184"/>
      <c r="O375" s="184"/>
      <c r="P375" s="184"/>
      <c r="Q375" s="116"/>
      <c r="R375" s="0" t="s">
        <v>2705</v>
      </c>
      <c r="T375" s="0" t="n">
        <v>1</v>
      </c>
    </row>
    <row r="376" customFormat="false" ht="14.4" hidden="false" customHeight="false" outlineLevel="0" collapsed="false">
      <c r="A376" s="0" t="s">
        <v>121</v>
      </c>
      <c r="B376" s="0" t="s">
        <v>1277</v>
      </c>
      <c r="C376" s="0" t="s">
        <v>1276</v>
      </c>
      <c r="D376" s="0" t="n">
        <v>20</v>
      </c>
      <c r="E376" s="0" t="n">
        <v>24</v>
      </c>
      <c r="F376" s="114" t="n">
        <v>1.05</v>
      </c>
      <c r="G376" s="171" t="n">
        <f aca="false">Barrage[[#This Row],[Coefficient]]*Barrage[[#This Row],[Total Rounds]]*Barrage[[#This Row],[Base Damage]]</f>
        <v>504</v>
      </c>
      <c r="H376" s="174" t="s">
        <v>2611</v>
      </c>
      <c r="I376" s="114" t="n">
        <v>0.75</v>
      </c>
      <c r="J376" s="114" t="n">
        <v>1.1</v>
      </c>
      <c r="K376" s="114" t="n">
        <v>0.75</v>
      </c>
      <c r="L376" s="193"/>
      <c r="M376" s="194"/>
      <c r="N376" s="184"/>
      <c r="O376" s="184"/>
      <c r="P376" s="184"/>
      <c r="Q376" s="116"/>
      <c r="R376" s="0" t="s">
        <v>98</v>
      </c>
      <c r="T376" s="0" t="n">
        <v>1</v>
      </c>
    </row>
    <row r="377" customFormat="false" ht="14.4" hidden="false" customHeight="false" outlineLevel="0" collapsed="false">
      <c r="A377" s="0" t="s">
        <v>121</v>
      </c>
      <c r="B377" s="0" t="s">
        <v>1278</v>
      </c>
      <c r="C377" s="0" t="s">
        <v>1276</v>
      </c>
      <c r="D377" s="0" t="n">
        <v>20</v>
      </c>
      <c r="E377" s="0" t="n">
        <v>20</v>
      </c>
      <c r="F377" s="114" t="n">
        <v>1</v>
      </c>
      <c r="G377" s="171" t="n">
        <f aca="false">Barrage[[#This Row],[Coefficient]]*Barrage[[#This Row],[Total Rounds]]*Barrage[[#This Row],[Base Damage]]</f>
        <v>400</v>
      </c>
      <c r="H377" s="175" t="s">
        <v>2612</v>
      </c>
      <c r="I377" s="114" t="n">
        <v>1.2</v>
      </c>
      <c r="J377" s="114" t="n">
        <v>0.8</v>
      </c>
      <c r="K377" s="114" t="n">
        <v>0.6</v>
      </c>
      <c r="L377" s="193"/>
      <c r="M377" s="194"/>
      <c r="N377" s="184"/>
      <c r="O377" s="184"/>
      <c r="P377" s="184"/>
      <c r="Q377" s="116"/>
      <c r="R377" s="0" t="s">
        <v>98</v>
      </c>
      <c r="T377" s="0" t="n">
        <v>1</v>
      </c>
    </row>
    <row r="378" customFormat="false" ht="14.4" hidden="false" customHeight="false" outlineLevel="0" collapsed="false">
      <c r="A378" s="0" t="s">
        <v>121</v>
      </c>
      <c r="B378" s="0" t="s">
        <v>1279</v>
      </c>
      <c r="C378" s="0" t="s">
        <v>1276</v>
      </c>
      <c r="D378" s="0" t="n">
        <v>20</v>
      </c>
      <c r="E378" s="0" t="n">
        <v>20</v>
      </c>
      <c r="F378" s="114" t="n">
        <v>1</v>
      </c>
      <c r="G378" s="171" t="n">
        <f aca="false">Barrage[[#This Row],[Coefficient]]*Barrage[[#This Row],[Total Rounds]]*Barrage[[#This Row],[Base Damage]]</f>
        <v>400</v>
      </c>
      <c r="H378" s="175" t="s">
        <v>2612</v>
      </c>
      <c r="I378" s="114" t="n">
        <v>1.2</v>
      </c>
      <c r="J378" s="114" t="n">
        <v>0.8</v>
      </c>
      <c r="K378" s="114" t="n">
        <v>0.6</v>
      </c>
      <c r="L378" s="193"/>
      <c r="M378" s="194"/>
      <c r="N378" s="184"/>
      <c r="O378" s="184"/>
      <c r="P378" s="184"/>
      <c r="Q378" s="116"/>
      <c r="R378" s="0" t="s">
        <v>98</v>
      </c>
      <c r="T378" s="0" t="n">
        <v>1</v>
      </c>
    </row>
    <row r="379" customFormat="false" ht="14.4" hidden="false" customHeight="false" outlineLevel="0" collapsed="false">
      <c r="A379" s="0" t="s">
        <v>74</v>
      </c>
      <c r="B379" s="0" t="s">
        <v>747</v>
      </c>
      <c r="C379" s="0" t="s">
        <v>746</v>
      </c>
      <c r="D379" s="0" t="n">
        <v>10</v>
      </c>
      <c r="E379" s="0" t="n">
        <v>24</v>
      </c>
      <c r="F379" s="114" t="n">
        <v>1.25</v>
      </c>
      <c r="G379" s="171" t="n">
        <f aca="false">Barrage[[#This Row],[Coefficient]]*Barrage[[#This Row],[Total Rounds]]*Barrage[[#This Row],[Base Damage]]</f>
        <v>300</v>
      </c>
      <c r="H379" s="175" t="s">
        <v>2612</v>
      </c>
      <c r="I379" s="114" t="n">
        <v>1</v>
      </c>
      <c r="J379" s="114" t="n">
        <v>0.75</v>
      </c>
      <c r="K379" s="114" t="n">
        <v>0.4</v>
      </c>
      <c r="L379" s="193"/>
      <c r="M379" s="194"/>
      <c r="N379" s="184"/>
      <c r="O379" s="184"/>
      <c r="P379" s="184"/>
      <c r="Q379" s="116"/>
      <c r="R379" s="0" t="s">
        <v>98</v>
      </c>
      <c r="T379" s="0" t="n">
        <v>1</v>
      </c>
    </row>
    <row r="380" customFormat="false" ht="14.4" hidden="false" customHeight="false" outlineLevel="0" collapsed="false">
      <c r="A380" s="0" t="s">
        <v>74</v>
      </c>
      <c r="B380" s="0" t="s">
        <v>748</v>
      </c>
      <c r="C380" s="0" t="s">
        <v>746</v>
      </c>
      <c r="D380" s="0" t="n">
        <v>20</v>
      </c>
      <c r="E380" s="0" t="n">
        <v>24</v>
      </c>
      <c r="F380" s="114" t="n">
        <v>1</v>
      </c>
      <c r="G380" s="171" t="n">
        <f aca="false">Barrage[[#This Row],[Coefficient]]*Barrage[[#This Row],[Total Rounds]]*Barrage[[#This Row],[Base Damage]]</f>
        <v>480</v>
      </c>
      <c r="H380" s="175" t="s">
        <v>2612</v>
      </c>
      <c r="I380" s="114" t="n">
        <v>1</v>
      </c>
      <c r="J380" s="114" t="n">
        <v>0.8</v>
      </c>
      <c r="K380" s="114" t="n">
        <v>0.6</v>
      </c>
      <c r="L380" s="193"/>
      <c r="M380" s="194"/>
      <c r="N380" s="184"/>
      <c r="O380" s="184"/>
      <c r="P380" s="184"/>
      <c r="Q380" s="116"/>
      <c r="R380" s="0" t="s">
        <v>98</v>
      </c>
      <c r="T380" s="0" t="n">
        <v>1</v>
      </c>
    </row>
    <row r="381" customFormat="false" ht="14.4" hidden="false" customHeight="false" outlineLevel="0" collapsed="false">
      <c r="A381" s="0" t="s">
        <v>74</v>
      </c>
      <c r="B381" s="0" t="s">
        <v>749</v>
      </c>
      <c r="C381" s="0" t="s">
        <v>746</v>
      </c>
      <c r="D381" s="0" t="n">
        <v>34</v>
      </c>
      <c r="E381" s="0" t="n">
        <v>5</v>
      </c>
      <c r="F381" s="114" t="n">
        <v>1</v>
      </c>
      <c r="G381" s="171" t="n">
        <f aca="false">Barrage[[#This Row],[Coefficient]]*Barrage[[#This Row],[Total Rounds]]*Barrage[[#This Row],[Base Damage]]</f>
        <v>170</v>
      </c>
      <c r="H381" s="0" t="s">
        <v>2621</v>
      </c>
      <c r="I381" s="114" t="n">
        <v>0.7</v>
      </c>
      <c r="J381" s="114" t="n">
        <v>0.9</v>
      </c>
      <c r="K381" s="114" t="n">
        <v>1.2</v>
      </c>
      <c r="L381" s="193"/>
      <c r="M381" s="194"/>
      <c r="N381" s="184"/>
      <c r="O381" s="184"/>
      <c r="P381" s="184"/>
      <c r="Q381" s="116"/>
      <c r="R381" s="0" t="s">
        <v>99</v>
      </c>
      <c r="T381" s="0" t="n">
        <v>1</v>
      </c>
    </row>
    <row r="382" customFormat="false" ht="14.4" hidden="false" customHeight="false" outlineLevel="0" collapsed="false">
      <c r="A382" s="0" t="s">
        <v>114</v>
      </c>
      <c r="B382" s="0" t="s">
        <v>2083</v>
      </c>
      <c r="C382" s="0" t="s">
        <v>2082</v>
      </c>
      <c r="D382" s="0" t="n">
        <v>108</v>
      </c>
      <c r="E382" s="0" t="n">
        <v>2</v>
      </c>
      <c r="F382" s="114" t="n">
        <v>1.1</v>
      </c>
      <c r="G382" s="171" t="n">
        <f aca="false">Barrage[[#This Row],[Coefficient]]*Barrage[[#This Row],[Total Rounds]]*Barrage[[#This Row],[Base Damage]]</f>
        <v>237.6</v>
      </c>
      <c r="H382" s="174" t="s">
        <v>2611</v>
      </c>
      <c r="I382" s="114" t="n">
        <v>0.4</v>
      </c>
      <c r="J382" s="114" t="n">
        <v>1.5</v>
      </c>
      <c r="K382" s="114" t="n">
        <v>1.3</v>
      </c>
      <c r="L382" s="193"/>
      <c r="M382" s="194"/>
      <c r="N382" s="184"/>
      <c r="O382" s="184"/>
      <c r="P382" s="184"/>
      <c r="Q382" s="116"/>
      <c r="R382" s="0" t="s">
        <v>98</v>
      </c>
      <c r="T382" s="0" t="n">
        <v>0.8</v>
      </c>
      <c r="U382" s="0" t="s">
        <v>2747</v>
      </c>
    </row>
    <row r="383" customFormat="false" ht="14.4" hidden="false" customHeight="false" outlineLevel="0" collapsed="false">
      <c r="A383" s="0" t="s">
        <v>114</v>
      </c>
      <c r="B383" s="0" t="s">
        <v>2084</v>
      </c>
      <c r="C383" s="0" t="s">
        <v>2082</v>
      </c>
      <c r="D383" s="0" t="n">
        <v>108</v>
      </c>
      <c r="E383" s="0" t="n">
        <v>8</v>
      </c>
      <c r="F383" s="114" t="n">
        <v>1</v>
      </c>
      <c r="G383" s="171" t="n">
        <f aca="false">Barrage[[#This Row],[Coefficient]]*Barrage[[#This Row],[Total Rounds]]*Barrage[[#This Row],[Base Damage]]</f>
        <v>864</v>
      </c>
      <c r="H383" s="175" t="s">
        <v>2612</v>
      </c>
      <c r="I383" s="114" t="n">
        <v>1.35</v>
      </c>
      <c r="J383" s="114" t="n">
        <v>0.95</v>
      </c>
      <c r="K383" s="114" t="n">
        <v>0.7</v>
      </c>
      <c r="L383" s="193"/>
      <c r="M383" s="194"/>
      <c r="N383" s="184"/>
      <c r="O383" s="184"/>
      <c r="P383" s="184"/>
      <c r="Q383" s="116"/>
      <c r="R383" s="0" t="s">
        <v>98</v>
      </c>
      <c r="T383" s="0" t="n">
        <v>1</v>
      </c>
    </row>
    <row r="384" customFormat="false" ht="14.4" hidden="false" customHeight="false" outlineLevel="0" collapsed="false">
      <c r="A384" s="0" t="s">
        <v>114</v>
      </c>
      <c r="B384" s="0" t="s">
        <v>2085</v>
      </c>
      <c r="C384" s="0" t="s">
        <v>2082</v>
      </c>
      <c r="D384" s="0" t="n">
        <v>20</v>
      </c>
      <c r="E384" s="0" t="n">
        <v>24</v>
      </c>
      <c r="F384" s="114" t="n">
        <v>1</v>
      </c>
      <c r="G384" s="171" t="n">
        <f aca="false">Barrage[[#This Row],[Coefficient]]*Barrage[[#This Row],[Total Rounds]]*Barrage[[#This Row],[Base Damage]]</f>
        <v>480</v>
      </c>
      <c r="H384" s="0" t="s">
        <v>2602</v>
      </c>
      <c r="I384" s="114" t="n">
        <v>1</v>
      </c>
      <c r="J384" s="114" t="n">
        <v>0.8</v>
      </c>
      <c r="K384" s="114" t="n">
        <v>0.6</v>
      </c>
      <c r="L384" s="193"/>
      <c r="M384" s="194"/>
      <c r="N384" s="184"/>
      <c r="O384" s="184"/>
      <c r="P384" s="184"/>
      <c r="Q384" s="116"/>
      <c r="R384" s="0" t="s">
        <v>98</v>
      </c>
      <c r="T384" s="0" t="n">
        <v>1</v>
      </c>
    </row>
    <row r="385" customFormat="false" ht="14.4" hidden="false" customHeight="false" outlineLevel="0" collapsed="false">
      <c r="A385" s="0" t="s">
        <v>2123</v>
      </c>
      <c r="B385" s="0" t="s">
        <v>2164</v>
      </c>
      <c r="C385" s="0" t="s">
        <v>2164</v>
      </c>
      <c r="D385" s="0" t="n">
        <v>288</v>
      </c>
      <c r="E385" s="0" t="n">
        <v>6</v>
      </c>
      <c r="F385" s="114" t="n">
        <v>1</v>
      </c>
      <c r="G385" s="171" t="n">
        <f aca="false">Barrage[[#This Row],[Coefficient]]*Barrage[[#This Row],[Total Rounds]]*Barrage[[#This Row],[Base Damage]]</f>
        <v>1728</v>
      </c>
      <c r="H385" s="0" t="s">
        <v>2621</v>
      </c>
      <c r="I385" s="114" t="n">
        <v>0.8</v>
      </c>
      <c r="J385" s="114" t="n">
        <v>1.1</v>
      </c>
      <c r="K385" s="114" t="n">
        <v>1.3</v>
      </c>
      <c r="L385" s="193"/>
      <c r="M385" s="194"/>
      <c r="N385" s="184"/>
      <c r="O385" s="184"/>
      <c r="P385" s="184"/>
      <c r="Q385" s="116"/>
      <c r="R385" s="0" t="s">
        <v>99</v>
      </c>
      <c r="T385" s="0" t="n">
        <v>1</v>
      </c>
    </row>
    <row r="386" customFormat="false" ht="14.4" hidden="false" customHeight="false" outlineLevel="0" collapsed="false">
      <c r="A386" s="0" t="s">
        <v>74</v>
      </c>
      <c r="B386" s="0" t="s">
        <v>1105</v>
      </c>
      <c r="C386" s="0" t="s">
        <v>1103</v>
      </c>
      <c r="D386" s="0" t="n">
        <v>86</v>
      </c>
      <c r="E386" s="0" t="n">
        <v>4</v>
      </c>
      <c r="F386" s="114" t="n">
        <v>1</v>
      </c>
      <c r="G386" s="171" t="n">
        <f aca="false">Barrage[[#This Row],[Coefficient]]*Barrage[[#This Row],[Total Rounds]]*Barrage[[#This Row],[Base Damage]]</f>
        <v>344</v>
      </c>
      <c r="H386" s="0" t="s">
        <v>2621</v>
      </c>
      <c r="I386" s="114" t="n">
        <v>0.8</v>
      </c>
      <c r="J386" s="114" t="n">
        <v>1</v>
      </c>
      <c r="K386" s="114" t="n">
        <v>1.3</v>
      </c>
      <c r="L386" s="193"/>
      <c r="M386" s="194"/>
      <c r="N386" s="184"/>
      <c r="O386" s="184"/>
      <c r="P386" s="184"/>
      <c r="Q386" s="116"/>
      <c r="R386" s="0" t="s">
        <v>99</v>
      </c>
      <c r="T386" s="0" t="n">
        <v>1</v>
      </c>
    </row>
    <row r="387" customFormat="false" ht="14.4" hidden="false" customHeight="false" outlineLevel="0" collapsed="false">
      <c r="A387" s="0" t="s">
        <v>325</v>
      </c>
      <c r="B387" s="0" t="s">
        <v>2564</v>
      </c>
      <c r="C387" s="0" t="s">
        <v>2562</v>
      </c>
      <c r="D387" s="0" t="n">
        <v>60</v>
      </c>
      <c r="E387" s="0" t="n">
        <v>9</v>
      </c>
      <c r="F387" s="114" t="n">
        <v>1</v>
      </c>
      <c r="G387" s="171" t="n">
        <f aca="false">Barrage[[#This Row],[Coefficient]]*Barrage[[#This Row],[Total Rounds]]*Barrage[[#This Row],[Base Damage]]</f>
        <v>540</v>
      </c>
      <c r="H387" s="0" t="s">
        <v>2621</v>
      </c>
      <c r="I387" s="114" t="n">
        <v>0.8</v>
      </c>
      <c r="J387" s="114" t="n">
        <v>1</v>
      </c>
      <c r="K387" s="114" t="n">
        <v>1.3</v>
      </c>
      <c r="L387" s="193"/>
      <c r="M387" s="194"/>
      <c r="N387" s="184"/>
      <c r="O387" s="184"/>
      <c r="P387" s="184"/>
      <c r="Q387" s="116"/>
      <c r="R387" s="0" t="s">
        <v>99</v>
      </c>
      <c r="T387" s="0" t="n">
        <v>1</v>
      </c>
    </row>
    <row r="388" customFormat="false" ht="14.4" hidden="false" customHeight="false" outlineLevel="0" collapsed="false">
      <c r="A388" s="0" t="s">
        <v>325</v>
      </c>
      <c r="B388" s="0" t="s">
        <v>2563</v>
      </c>
      <c r="C388" s="0" t="s">
        <v>2562</v>
      </c>
      <c r="D388" s="0" t="n">
        <v>40</v>
      </c>
      <c r="E388" s="0" t="n">
        <v>14</v>
      </c>
      <c r="F388" s="114" t="n">
        <v>1</v>
      </c>
      <c r="G388" s="171" t="n">
        <f aca="false">Barrage[[#This Row],[Coefficient]]*Barrage[[#This Row],[Total Rounds]]*Barrage[[#This Row],[Base Damage]]</f>
        <v>560</v>
      </c>
      <c r="H388" s="0" t="s">
        <v>2621</v>
      </c>
      <c r="I388" s="114" t="n">
        <v>0.8</v>
      </c>
      <c r="J388" s="114" t="n">
        <v>1</v>
      </c>
      <c r="K388" s="114" t="n">
        <v>1.3</v>
      </c>
      <c r="L388" s="193"/>
      <c r="M388" s="194"/>
      <c r="N388" s="184"/>
      <c r="O388" s="184"/>
      <c r="P388" s="184"/>
      <c r="Q388" s="116"/>
      <c r="R388" s="0" t="s">
        <v>99</v>
      </c>
      <c r="T388" s="0" t="n">
        <v>1</v>
      </c>
    </row>
    <row r="389" customFormat="false" ht="14.4" hidden="false" customHeight="false" outlineLevel="0" collapsed="false">
      <c r="A389" s="0" t="s">
        <v>2123</v>
      </c>
      <c r="B389" s="0" t="s">
        <v>2278</v>
      </c>
      <c r="C389" s="0" t="s">
        <v>2276</v>
      </c>
      <c r="D389" s="0" t="n">
        <v>300</v>
      </c>
      <c r="E389" s="0" t="n">
        <v>4</v>
      </c>
      <c r="F389" s="114" t="n">
        <v>1</v>
      </c>
      <c r="G389" s="171" t="n">
        <f aca="false">Barrage[[#This Row],[Coefficient]]*Barrage[[#This Row],[Total Rounds]]*Barrage[[#This Row],[Base Damage]]</f>
        <v>1200</v>
      </c>
      <c r="H389" s="0" t="s">
        <v>2704</v>
      </c>
      <c r="I389" s="114" t="n">
        <v>0.8</v>
      </c>
      <c r="J389" s="114" t="n">
        <v>0.9</v>
      </c>
      <c r="K389" s="114" t="n">
        <v>1.1</v>
      </c>
      <c r="L389" s="193"/>
      <c r="M389" s="194"/>
      <c r="N389" s="184"/>
      <c r="O389" s="184"/>
      <c r="P389" s="184"/>
      <c r="Q389" s="116"/>
      <c r="R389" s="0" t="s">
        <v>2705</v>
      </c>
      <c r="T389" s="0" t="n">
        <v>1</v>
      </c>
    </row>
    <row r="390" customFormat="false" ht="14.4" hidden="false" customHeight="false" outlineLevel="0" collapsed="false">
      <c r="A390" s="0" t="s">
        <v>2123</v>
      </c>
      <c r="B390" s="0" t="s">
        <v>2279</v>
      </c>
      <c r="C390" s="0" t="s">
        <v>2276</v>
      </c>
      <c r="D390" s="0" t="n">
        <v>260</v>
      </c>
      <c r="E390" s="0" t="n">
        <v>6</v>
      </c>
      <c r="F390" s="114" t="n">
        <v>1</v>
      </c>
      <c r="G390" s="171" t="n">
        <f aca="false">Barrage[[#This Row],[Coefficient]]*Barrage[[#This Row],[Total Rounds]]*Barrage[[#This Row],[Base Damage]]</f>
        <v>1560</v>
      </c>
      <c r="H390" s="0" t="s">
        <v>2621</v>
      </c>
      <c r="I390" s="114" t="n">
        <v>0.8</v>
      </c>
      <c r="J390" s="114" t="n">
        <v>1.1</v>
      </c>
      <c r="K390" s="114" t="n">
        <v>1.3</v>
      </c>
      <c r="L390" s="193"/>
      <c r="M390" s="194"/>
      <c r="N390" s="184"/>
      <c r="O390" s="184"/>
      <c r="P390" s="184"/>
      <c r="Q390" s="116"/>
      <c r="R390" s="0" t="s">
        <v>2705</v>
      </c>
      <c r="T390" s="0" t="n">
        <v>1</v>
      </c>
    </row>
    <row r="391" customFormat="false" ht="14.4" hidden="false" customHeight="false" outlineLevel="0" collapsed="false">
      <c r="A391" s="0" t="s">
        <v>2123</v>
      </c>
      <c r="B391" s="0" t="s">
        <v>2280</v>
      </c>
      <c r="C391" s="0" t="s">
        <v>2276</v>
      </c>
      <c r="D391" s="0" t="n">
        <v>20</v>
      </c>
      <c r="E391" s="0" t="n">
        <v>50</v>
      </c>
      <c r="F391" s="114" t="n">
        <v>1</v>
      </c>
      <c r="G391" s="171" t="n">
        <f aca="false">Barrage[[#This Row],[Coefficient]]*Barrage[[#This Row],[Total Rounds]]*Barrage[[#This Row],[Base Damage]]</f>
        <v>1000</v>
      </c>
      <c r="H391" s="0" t="s">
        <v>2602</v>
      </c>
      <c r="I391" s="114" t="n">
        <v>1</v>
      </c>
      <c r="J391" s="114" t="n">
        <v>0.8</v>
      </c>
      <c r="K391" s="114" t="n">
        <v>0.6</v>
      </c>
      <c r="L391" s="193"/>
      <c r="M391" s="194"/>
      <c r="N391" s="184"/>
      <c r="O391" s="184"/>
      <c r="P391" s="184"/>
      <c r="Q391" s="116"/>
      <c r="R391" s="0" t="s">
        <v>98</v>
      </c>
      <c r="T391" s="0" t="n">
        <v>1</v>
      </c>
    </row>
    <row r="392" customFormat="false" ht="14.4" hidden="false" customHeight="false" outlineLevel="0" collapsed="false">
      <c r="A392" s="0" t="s">
        <v>242</v>
      </c>
      <c r="B392" s="0" t="s">
        <v>2361</v>
      </c>
      <c r="C392" s="0" t="s">
        <v>2748</v>
      </c>
      <c r="D392" s="0" t="n">
        <v>360</v>
      </c>
      <c r="E392" s="0" t="n">
        <v>1</v>
      </c>
      <c r="F392" s="114" t="n">
        <v>1</v>
      </c>
      <c r="G392" s="171" t="n">
        <f aca="false">Barrage[[#This Row],[Coefficient]]*Barrage[[#This Row],[Total Rounds]]*Barrage[[#This Row],[Base Damage]]</f>
        <v>360</v>
      </c>
      <c r="H392" s="0" t="s">
        <v>2704</v>
      </c>
      <c r="I392" s="114" t="n">
        <v>0.8</v>
      </c>
      <c r="J392" s="114" t="n">
        <v>0.9</v>
      </c>
      <c r="K392" s="114" t="n">
        <v>1.1</v>
      </c>
      <c r="L392" s="193"/>
      <c r="M392" s="194"/>
      <c r="N392" s="184"/>
      <c r="O392" s="184"/>
      <c r="P392" s="184"/>
      <c r="Q392" s="116"/>
      <c r="R392" s="0" t="s">
        <v>2705</v>
      </c>
      <c r="T392" s="0" t="n">
        <v>1</v>
      </c>
    </row>
    <row r="393" customFormat="false" ht="14.4" hidden="false" customHeight="false" outlineLevel="0" collapsed="false">
      <c r="A393" s="0" t="s">
        <v>242</v>
      </c>
      <c r="B393" s="0" t="s">
        <v>2362</v>
      </c>
      <c r="C393" s="0" t="s">
        <v>2748</v>
      </c>
      <c r="D393" s="0" t="n">
        <v>240</v>
      </c>
      <c r="E393" s="0" t="n">
        <v>2</v>
      </c>
      <c r="F393" s="114" t="n">
        <v>1</v>
      </c>
      <c r="G393" s="171" t="n">
        <f aca="false">Barrage[[#This Row],[Coefficient]]*Barrage[[#This Row],[Total Rounds]]*Barrage[[#This Row],[Base Damage]]</f>
        <v>480</v>
      </c>
      <c r="H393" s="0" t="s">
        <v>2621</v>
      </c>
      <c r="I393" s="114" t="n">
        <v>0.8</v>
      </c>
      <c r="J393" s="114" t="n">
        <v>1.1</v>
      </c>
      <c r="K393" s="114" t="n">
        <v>1.3</v>
      </c>
      <c r="L393" s="193"/>
      <c r="M393" s="194"/>
      <c r="N393" s="184"/>
      <c r="O393" s="184"/>
      <c r="P393" s="184"/>
      <c r="Q393" s="116"/>
      <c r="R393" s="0" t="s">
        <v>2705</v>
      </c>
      <c r="T393" s="0" t="n">
        <v>1</v>
      </c>
    </row>
    <row r="394" customFormat="false" ht="14.4" hidden="false" customHeight="false" outlineLevel="0" collapsed="false">
      <c r="A394" s="0" t="s">
        <v>242</v>
      </c>
      <c r="B394" s="0" t="s">
        <v>2363</v>
      </c>
      <c r="C394" s="0" t="s">
        <v>2748</v>
      </c>
      <c r="D394" s="0" t="n">
        <v>360</v>
      </c>
      <c r="E394" s="0" t="n">
        <v>2</v>
      </c>
      <c r="F394" s="114" t="n">
        <v>1</v>
      </c>
      <c r="G394" s="171" t="n">
        <f aca="false">Barrage[[#This Row],[Coefficient]]*Barrage[[#This Row],[Total Rounds]]*Barrage[[#This Row],[Base Damage]]</f>
        <v>720</v>
      </c>
      <c r="H394" s="0" t="s">
        <v>2704</v>
      </c>
      <c r="I394" s="114" t="n">
        <v>0.8</v>
      </c>
      <c r="J394" s="114" t="n">
        <v>0.9</v>
      </c>
      <c r="K394" s="114" t="n">
        <v>1.1</v>
      </c>
      <c r="L394" s="193"/>
      <c r="M394" s="194"/>
      <c r="N394" s="184"/>
      <c r="O394" s="184"/>
      <c r="P394" s="184"/>
      <c r="Q394" s="116"/>
      <c r="R394" s="0" t="s">
        <v>2705</v>
      </c>
      <c r="T394" s="0" t="n">
        <v>1</v>
      </c>
    </row>
    <row r="395" customFormat="false" ht="14.4" hidden="false" customHeight="false" outlineLevel="0" collapsed="false">
      <c r="A395" s="0" t="s">
        <v>242</v>
      </c>
      <c r="B395" s="0" t="s">
        <v>2364</v>
      </c>
      <c r="C395" s="0" t="s">
        <v>2748</v>
      </c>
      <c r="D395" s="0" t="n">
        <v>240</v>
      </c>
      <c r="E395" s="0" t="n">
        <v>4</v>
      </c>
      <c r="F395" s="114" t="n">
        <v>1</v>
      </c>
      <c r="G395" s="171" t="n">
        <f aca="false">Barrage[[#This Row],[Coefficient]]*Barrage[[#This Row],[Total Rounds]]*Barrage[[#This Row],[Base Damage]]</f>
        <v>960</v>
      </c>
      <c r="H395" s="0" t="s">
        <v>2621</v>
      </c>
      <c r="I395" s="114" t="n">
        <v>0.8</v>
      </c>
      <c r="J395" s="114" t="n">
        <v>1.1</v>
      </c>
      <c r="K395" s="114" t="n">
        <v>1.3</v>
      </c>
      <c r="L395" s="193"/>
      <c r="M395" s="194"/>
      <c r="N395" s="184"/>
      <c r="O395" s="184"/>
      <c r="P395" s="184"/>
      <c r="Q395" s="116"/>
      <c r="R395" s="0" t="s">
        <v>2705</v>
      </c>
      <c r="T395" s="0" t="n">
        <v>1</v>
      </c>
    </row>
    <row r="396" customFormat="false" ht="14.4" hidden="false" customHeight="false" outlineLevel="0" collapsed="false">
      <c r="A396" s="0" t="s">
        <v>114</v>
      </c>
      <c r="B396" s="0" t="s">
        <v>1939</v>
      </c>
      <c r="C396" s="0" t="s">
        <v>1938</v>
      </c>
      <c r="D396" s="0" t="n">
        <v>121</v>
      </c>
      <c r="E396" s="0" t="n">
        <v>10</v>
      </c>
      <c r="F396" s="114" t="n">
        <v>1</v>
      </c>
      <c r="G396" s="171" t="n">
        <f aca="false">Barrage[[#This Row],[Coefficient]]*Barrage[[#This Row],[Total Rounds]]*Barrage[[#This Row],[Base Damage]]</f>
        <v>1210</v>
      </c>
      <c r="H396" s="174" t="s">
        <v>2611</v>
      </c>
      <c r="I396" s="114" t="n">
        <v>0.45</v>
      </c>
      <c r="J396" s="114" t="n">
        <v>1.2</v>
      </c>
      <c r="K396" s="114" t="n">
        <v>1.2</v>
      </c>
      <c r="L396" s="193"/>
      <c r="M396" s="194"/>
      <c r="N396" s="184"/>
      <c r="O396" s="184"/>
      <c r="P396" s="184"/>
      <c r="Q396" s="116"/>
      <c r="R396" s="0" t="s">
        <v>98</v>
      </c>
      <c r="T396" s="0" t="n">
        <v>1</v>
      </c>
    </row>
    <row r="397" customFormat="false" ht="14.4" hidden="false" customHeight="false" outlineLevel="0" collapsed="false">
      <c r="A397" s="0" t="s">
        <v>114</v>
      </c>
      <c r="B397" s="0" t="s">
        <v>1940</v>
      </c>
      <c r="C397" s="0" t="s">
        <v>1938</v>
      </c>
      <c r="D397" s="0" t="n">
        <v>20</v>
      </c>
      <c r="E397" s="0" t="n">
        <v>18</v>
      </c>
      <c r="F397" s="114" t="n">
        <v>1</v>
      </c>
      <c r="G397" s="171" t="n">
        <f aca="false">Barrage[[#This Row],[Coefficient]]*Barrage[[#This Row],[Total Rounds]]*Barrage[[#This Row],[Base Damage]]</f>
        <v>360</v>
      </c>
      <c r="H397" s="174" t="s">
        <v>2611</v>
      </c>
      <c r="I397" s="114" t="n">
        <v>0.9</v>
      </c>
      <c r="J397" s="114" t="n">
        <v>0.7</v>
      </c>
      <c r="K397" s="114" t="n">
        <v>0.4</v>
      </c>
      <c r="L397" s="193"/>
      <c r="M397" s="194"/>
      <c r="N397" s="184"/>
      <c r="O397" s="184"/>
      <c r="P397" s="184"/>
      <c r="Q397" s="116"/>
      <c r="R397" s="0" t="s">
        <v>98</v>
      </c>
      <c r="T397" s="0" t="n">
        <v>1</v>
      </c>
    </row>
    <row r="398" customFormat="false" ht="14.4" hidden="false" customHeight="false" outlineLevel="0" collapsed="false">
      <c r="A398" s="0" t="s">
        <v>114</v>
      </c>
      <c r="B398" s="0" t="s">
        <v>1941</v>
      </c>
      <c r="C398" s="0" t="s">
        <v>1938</v>
      </c>
      <c r="D398" s="0" t="n">
        <v>20</v>
      </c>
      <c r="E398" s="0" t="n">
        <v>36</v>
      </c>
      <c r="F398" s="114" t="n">
        <v>1</v>
      </c>
      <c r="G398" s="171" t="n">
        <f aca="false">Barrage[[#This Row],[Coefficient]]*Barrage[[#This Row],[Total Rounds]]*Barrage[[#This Row],[Base Damage]]</f>
        <v>720</v>
      </c>
      <c r="H398" s="175" t="s">
        <v>2612</v>
      </c>
      <c r="I398" s="114" t="n">
        <v>1</v>
      </c>
      <c r="J398" s="114" t="n">
        <v>0.8</v>
      </c>
      <c r="K398" s="114" t="n">
        <v>0.6</v>
      </c>
      <c r="L398" s="193"/>
      <c r="M398" s="194"/>
      <c r="N398" s="184"/>
      <c r="O398" s="184"/>
      <c r="P398" s="184"/>
      <c r="Q398" s="116"/>
      <c r="R398" s="0" t="s">
        <v>98</v>
      </c>
      <c r="T398" s="0" t="n">
        <v>1</v>
      </c>
    </row>
    <row r="399" customFormat="false" ht="14.4" hidden="false" customHeight="false" outlineLevel="0" collapsed="false">
      <c r="A399" s="0" t="s">
        <v>114</v>
      </c>
      <c r="B399" s="0" t="s">
        <v>1942</v>
      </c>
      <c r="C399" s="0" t="s">
        <v>1938</v>
      </c>
      <c r="D399" s="0" t="n">
        <v>96</v>
      </c>
      <c r="E399" s="0" t="n">
        <v>8</v>
      </c>
      <c r="F399" s="114" t="n">
        <v>1</v>
      </c>
      <c r="G399" s="171" t="n">
        <f aca="false">Barrage[[#This Row],[Coefficient]]*Barrage[[#This Row],[Total Rounds]]*Barrage[[#This Row],[Base Damage]]</f>
        <v>768</v>
      </c>
      <c r="H399" s="0" t="s">
        <v>2621</v>
      </c>
      <c r="I399" s="114" t="n">
        <v>0.8</v>
      </c>
      <c r="J399" s="114" t="n">
        <v>1</v>
      </c>
      <c r="K399" s="114" t="n">
        <v>1.3</v>
      </c>
      <c r="L399" s="193"/>
      <c r="M399" s="194"/>
      <c r="N399" s="184"/>
      <c r="O399" s="184"/>
      <c r="P399" s="184"/>
      <c r="Q399" s="116"/>
      <c r="R399" s="0" t="s">
        <v>99</v>
      </c>
      <c r="T399" s="0" t="n">
        <v>1</v>
      </c>
    </row>
    <row r="400" customFormat="false" ht="13.8" hidden="false" customHeight="false" outlineLevel="0" collapsed="false">
      <c r="A400" s="0" t="s">
        <v>114</v>
      </c>
      <c r="B400" s="0" t="s">
        <v>2105</v>
      </c>
      <c r="C400" s="0" t="s">
        <v>2103</v>
      </c>
      <c r="D400" s="0" t="n">
        <v>86</v>
      </c>
      <c r="E400" s="0" t="n">
        <v>8</v>
      </c>
      <c r="F400" s="114" t="n">
        <v>1</v>
      </c>
      <c r="G400" s="171" t="n">
        <v>688</v>
      </c>
      <c r="H400" s="0" t="s">
        <v>2612</v>
      </c>
      <c r="I400" s="114" t="n">
        <v>1.4</v>
      </c>
      <c r="J400" s="114" t="n">
        <v>0.85</v>
      </c>
      <c r="K400" s="114" t="n">
        <v>0.65</v>
      </c>
      <c r="L400" s="193"/>
      <c r="M400" s="194"/>
      <c r="N400" s="184"/>
      <c r="O400" s="184"/>
      <c r="P400" s="184"/>
      <c r="Q400" s="116"/>
      <c r="R400" s="0" t="s">
        <v>98</v>
      </c>
      <c r="T400" s="0" t="n">
        <v>1</v>
      </c>
    </row>
    <row r="401" customFormat="false" ht="13.8" hidden="false" customHeight="false" outlineLevel="0" collapsed="false">
      <c r="A401" s="0" t="s">
        <v>114</v>
      </c>
      <c r="B401" s="0" t="s">
        <v>2107</v>
      </c>
      <c r="C401" s="0" t="s">
        <v>2106</v>
      </c>
      <c r="D401" s="0" t="n">
        <v>200</v>
      </c>
      <c r="E401" s="0" t="n">
        <v>2</v>
      </c>
      <c r="F401" s="114" t="n">
        <v>1</v>
      </c>
      <c r="G401" s="171" t="n">
        <v>400</v>
      </c>
      <c r="H401" s="0" t="s">
        <v>2612</v>
      </c>
      <c r="I401" s="114" t="n">
        <v>1</v>
      </c>
      <c r="J401" s="114" t="n">
        <v>1</v>
      </c>
      <c r="K401" s="114" t="n">
        <v>1</v>
      </c>
      <c r="L401" s="193"/>
      <c r="M401" s="194"/>
      <c r="N401" s="184"/>
      <c r="O401" s="184"/>
      <c r="P401" s="184"/>
      <c r="Q401" s="116"/>
      <c r="R401" s="0" t="s">
        <v>98</v>
      </c>
      <c r="T401" s="0" t="n">
        <v>1</v>
      </c>
    </row>
    <row r="402" customFormat="false" ht="13.8" hidden="false" customHeight="false" outlineLevel="0" collapsed="false">
      <c r="A402" s="0" t="s">
        <v>114</v>
      </c>
      <c r="B402" s="0" t="s">
        <v>2108</v>
      </c>
      <c r="C402" s="0" t="s">
        <v>2106</v>
      </c>
      <c r="D402" s="0" t="n">
        <v>25</v>
      </c>
      <c r="E402" s="0" t="n">
        <v>36</v>
      </c>
      <c r="F402" s="114" t="n">
        <v>1</v>
      </c>
      <c r="G402" s="171" t="n">
        <v>900</v>
      </c>
      <c r="H402" s="0" t="s">
        <v>2612</v>
      </c>
      <c r="I402" s="114" t="n">
        <v>1</v>
      </c>
      <c r="J402" s="114" t="n">
        <v>1</v>
      </c>
      <c r="K402" s="114" t="n">
        <v>1</v>
      </c>
      <c r="L402" s="193"/>
      <c r="M402" s="194"/>
      <c r="N402" s="184"/>
      <c r="O402" s="184"/>
      <c r="P402" s="184"/>
      <c r="Q402" s="116"/>
      <c r="R402" s="0" t="s">
        <v>98</v>
      </c>
      <c r="T402" s="0" t="n">
        <v>1</v>
      </c>
    </row>
    <row r="403" customFormat="false" ht="13.8" hidden="false" customHeight="false" outlineLevel="0" collapsed="false">
      <c r="A403" s="0" t="s">
        <v>114</v>
      </c>
      <c r="B403" s="0" t="s">
        <v>2109</v>
      </c>
      <c r="C403" s="0" t="s">
        <v>2106</v>
      </c>
      <c r="D403" s="0" t="n">
        <v>20</v>
      </c>
      <c r="E403" s="0" t="n">
        <v>22</v>
      </c>
      <c r="F403" s="114" t="n">
        <v>1</v>
      </c>
      <c r="G403" s="171" t="n">
        <v>440</v>
      </c>
      <c r="H403" s="0" t="s">
        <v>2612</v>
      </c>
      <c r="I403" s="114" t="n">
        <v>1</v>
      </c>
      <c r="J403" s="114" t="n">
        <v>0.8</v>
      </c>
      <c r="K403" s="114" t="n">
        <v>0.7</v>
      </c>
      <c r="L403" s="193"/>
      <c r="M403" s="194"/>
      <c r="N403" s="184"/>
      <c r="O403" s="184"/>
      <c r="P403" s="184"/>
      <c r="Q403" s="116"/>
      <c r="R403" s="0" t="s">
        <v>98</v>
      </c>
      <c r="T403" s="0" t="n">
        <v>1</v>
      </c>
    </row>
    <row r="404" customFormat="false" ht="13.8" hidden="false" customHeight="false" outlineLevel="0" collapsed="false">
      <c r="A404" s="0" t="s">
        <v>114</v>
      </c>
      <c r="B404" s="0" t="s">
        <v>2110</v>
      </c>
      <c r="C404" s="0" t="s">
        <v>2106</v>
      </c>
      <c r="D404" s="0" t="n">
        <v>80</v>
      </c>
      <c r="E404" s="0" t="n">
        <v>4</v>
      </c>
      <c r="F404" s="114" t="n">
        <v>1.1</v>
      </c>
      <c r="G404" s="171" t="n">
        <v>320</v>
      </c>
      <c r="H404" s="0" t="s">
        <v>2621</v>
      </c>
      <c r="I404" s="114" t="n">
        <v>0.8</v>
      </c>
      <c r="J404" s="114" t="n">
        <v>1</v>
      </c>
      <c r="K404" s="114" t="n">
        <v>1.3</v>
      </c>
      <c r="L404" s="193"/>
      <c r="M404" s="194"/>
      <c r="N404" s="184"/>
      <c r="O404" s="184"/>
      <c r="P404" s="184"/>
      <c r="Q404" s="116"/>
      <c r="R404" s="0" t="s">
        <v>99</v>
      </c>
      <c r="T404" s="0" t="n">
        <v>1</v>
      </c>
    </row>
    <row r="405" customFormat="false" ht="13.8" hidden="false" customHeight="false" outlineLevel="0" collapsed="false">
      <c r="A405" s="0" t="s">
        <v>114</v>
      </c>
      <c r="B405" s="0" t="s">
        <v>2112</v>
      </c>
      <c r="C405" s="0" t="s">
        <v>2111</v>
      </c>
      <c r="D405" s="0" t="n">
        <v>86</v>
      </c>
      <c r="E405" s="0" t="n">
        <v>4</v>
      </c>
      <c r="F405" s="114" t="n">
        <v>1</v>
      </c>
      <c r="G405" s="171" t="n">
        <v>344</v>
      </c>
      <c r="H405" s="0" t="s">
        <v>2611</v>
      </c>
      <c r="I405" s="114" t="n">
        <v>0.65</v>
      </c>
      <c r="J405" s="114" t="n">
        <v>1.35</v>
      </c>
      <c r="K405" s="114" t="n">
        <v>1.15</v>
      </c>
      <c r="L405" s="193"/>
      <c r="M405" s="194"/>
      <c r="N405" s="184"/>
      <c r="O405" s="184"/>
      <c r="P405" s="184"/>
      <c r="Q405" s="116"/>
      <c r="R405" s="0" t="s">
        <v>98</v>
      </c>
      <c r="T405" s="0" t="n">
        <v>1</v>
      </c>
    </row>
    <row r="406" customFormat="false" ht="13.8" hidden="false" customHeight="false" outlineLevel="0" collapsed="false">
      <c r="A406" s="0" t="s">
        <v>114</v>
      </c>
      <c r="B406" s="0" t="s">
        <v>2113</v>
      </c>
      <c r="C406" s="0" t="s">
        <v>2111</v>
      </c>
      <c r="D406" s="0" t="n">
        <v>20</v>
      </c>
      <c r="E406" s="0" t="n">
        <v>18</v>
      </c>
      <c r="F406" s="114" t="n">
        <v>1</v>
      </c>
      <c r="G406" s="171" t="n">
        <v>360</v>
      </c>
      <c r="H406" s="0" t="s">
        <v>2612</v>
      </c>
      <c r="I406" s="114" t="n">
        <v>1.2</v>
      </c>
      <c r="J406" s="114" t="n">
        <v>0.6</v>
      </c>
      <c r="K406" s="114" t="n">
        <v>0.6</v>
      </c>
      <c r="L406" s="193"/>
      <c r="M406" s="194"/>
      <c r="N406" s="184"/>
      <c r="O406" s="184"/>
      <c r="P406" s="184"/>
      <c r="Q406" s="116"/>
      <c r="R406" s="0" t="s">
        <v>98</v>
      </c>
      <c r="T406" s="0" t="n">
        <v>1</v>
      </c>
    </row>
    <row r="407" customFormat="false" ht="13.8" hidden="false" customHeight="false" outlineLevel="0" collapsed="false">
      <c r="A407" s="0" t="s">
        <v>114</v>
      </c>
      <c r="B407" s="0" t="s">
        <v>2114</v>
      </c>
      <c r="C407" s="0" t="s">
        <v>2111</v>
      </c>
      <c r="D407" s="0" t="n">
        <v>20</v>
      </c>
      <c r="E407" s="0" t="n">
        <v>6</v>
      </c>
      <c r="F407" s="114" t="n">
        <v>1</v>
      </c>
      <c r="G407" s="171" t="n">
        <v>120</v>
      </c>
      <c r="H407" s="0" t="s">
        <v>2602</v>
      </c>
      <c r="I407" s="114" t="n">
        <v>1</v>
      </c>
      <c r="J407" s="114" t="n">
        <v>0.8</v>
      </c>
      <c r="K407" s="114" t="n">
        <v>0.7</v>
      </c>
      <c r="L407" s="193"/>
      <c r="M407" s="194"/>
      <c r="N407" s="184"/>
      <c r="O407" s="184"/>
      <c r="P407" s="184"/>
      <c r="Q407" s="116"/>
      <c r="R407" s="0" t="s">
        <v>98</v>
      </c>
      <c r="T407" s="0" t="n">
        <v>1</v>
      </c>
    </row>
    <row r="408" customFormat="false" ht="13.8" hidden="false" customHeight="false" outlineLevel="0" collapsed="false">
      <c r="A408" s="0" t="s">
        <v>114</v>
      </c>
      <c r="B408" s="0" t="s">
        <v>2116</v>
      </c>
      <c r="C408" s="0" t="s">
        <v>2115</v>
      </c>
      <c r="D408" s="0" t="n">
        <v>181</v>
      </c>
      <c r="E408" s="0" t="n">
        <v>3</v>
      </c>
      <c r="F408" s="114" t="n">
        <v>1.1</v>
      </c>
      <c r="G408" s="171" t="n">
        <v>543</v>
      </c>
      <c r="H408" s="0" t="s">
        <v>2612</v>
      </c>
      <c r="I408" s="114" t="n">
        <v>1.4</v>
      </c>
      <c r="J408" s="114" t="n">
        <v>1.1</v>
      </c>
      <c r="K408" s="114" t="n">
        <v>0.9</v>
      </c>
      <c r="L408" s="193"/>
      <c r="M408" s="194"/>
      <c r="N408" s="184"/>
      <c r="O408" s="184"/>
      <c r="P408" s="184"/>
      <c r="Q408" s="116"/>
      <c r="R408" s="0" t="s">
        <v>98</v>
      </c>
      <c r="T408" s="0" t="n">
        <v>1</v>
      </c>
    </row>
    <row r="409" customFormat="false" ht="13.8" hidden="false" customHeight="false" outlineLevel="0" collapsed="false">
      <c r="A409" s="0" t="s">
        <v>114</v>
      </c>
      <c r="B409" s="0" t="s">
        <v>2117</v>
      </c>
      <c r="C409" s="0" t="s">
        <v>2115</v>
      </c>
      <c r="D409" s="0" t="n">
        <v>181</v>
      </c>
      <c r="E409" s="0" t="n">
        <v>3</v>
      </c>
      <c r="F409" s="114" t="n">
        <v>1.1</v>
      </c>
      <c r="G409" s="171" t="n">
        <v>543</v>
      </c>
      <c r="H409" s="0" t="s">
        <v>2611</v>
      </c>
      <c r="I409" s="114" t="n">
        <v>0.4</v>
      </c>
      <c r="J409" s="114" t="n">
        <v>1.2</v>
      </c>
      <c r="K409" s="114" t="n">
        <v>1.25</v>
      </c>
      <c r="L409" s="193"/>
      <c r="M409" s="194"/>
      <c r="N409" s="184"/>
      <c r="O409" s="184"/>
      <c r="P409" s="184"/>
      <c r="Q409" s="116"/>
      <c r="R409" s="0" t="s">
        <v>98</v>
      </c>
      <c r="T409" s="0" t="n">
        <v>1</v>
      </c>
    </row>
    <row r="410" customFormat="false" ht="14.4" hidden="false" customHeight="false" outlineLevel="0" collapsed="false">
      <c r="A410" s="0" t="s">
        <v>74</v>
      </c>
      <c r="B410" s="114" t="s">
        <v>990</v>
      </c>
      <c r="C410" s="0" t="s">
        <v>989</v>
      </c>
      <c r="D410" s="0" t="n">
        <v>16</v>
      </c>
      <c r="E410" s="0" t="n">
        <v>40</v>
      </c>
      <c r="F410" s="114" t="n">
        <v>1</v>
      </c>
      <c r="G410" s="171" t="n">
        <f aca="false">Barrage[[#This Row],[Coefficient]]*Barrage[[#This Row],[Total Rounds]]*Barrage[[#This Row],[Base Damage]]</f>
        <v>640</v>
      </c>
      <c r="H410" s="0" t="s">
        <v>2602</v>
      </c>
      <c r="I410" s="114" t="n">
        <v>1</v>
      </c>
      <c r="J410" s="114" t="n">
        <v>0.8</v>
      </c>
      <c r="K410" s="114" t="n">
        <v>0.6</v>
      </c>
      <c r="L410" s="193"/>
      <c r="M410" s="194"/>
      <c r="N410" s="184"/>
      <c r="O410" s="184"/>
      <c r="P410" s="184"/>
      <c r="Q410" s="116"/>
      <c r="R410" s="0" t="s">
        <v>98</v>
      </c>
      <c r="T410" s="0" t="n">
        <v>1</v>
      </c>
    </row>
    <row r="411" customFormat="false" ht="14.4" hidden="false" customHeight="false" outlineLevel="0" collapsed="false">
      <c r="A411" s="0" t="s">
        <v>74</v>
      </c>
      <c r="B411" s="114" t="s">
        <v>991</v>
      </c>
      <c r="C411" s="0" t="s">
        <v>989</v>
      </c>
      <c r="D411" s="0" t="n">
        <v>54</v>
      </c>
      <c r="E411" s="0" t="n">
        <v>8</v>
      </c>
      <c r="F411" s="114" t="n">
        <v>1</v>
      </c>
      <c r="G411" s="171" t="n">
        <f aca="false">Barrage[[#This Row],[Coefficient]]*Barrage[[#This Row],[Total Rounds]]*Barrage[[#This Row],[Base Damage]]</f>
        <v>432</v>
      </c>
      <c r="H411" s="0" t="s">
        <v>2621</v>
      </c>
      <c r="I411" s="114" t="n">
        <v>0.8</v>
      </c>
      <c r="J411" s="114" t="n">
        <v>1</v>
      </c>
      <c r="K411" s="114" t="n">
        <v>1.3</v>
      </c>
      <c r="L411" s="193"/>
      <c r="M411" s="194"/>
      <c r="N411" s="184"/>
      <c r="O411" s="184"/>
      <c r="P411" s="184"/>
      <c r="Q411" s="116"/>
      <c r="R411" s="0" t="s">
        <v>99</v>
      </c>
      <c r="T411" s="0" t="n">
        <v>1</v>
      </c>
    </row>
    <row r="412" customFormat="false" ht="14.4" hidden="false" customHeight="false" outlineLevel="0" collapsed="false">
      <c r="A412" s="0" t="s">
        <v>74</v>
      </c>
      <c r="B412" s="114" t="s">
        <v>992</v>
      </c>
      <c r="C412" s="0" t="s">
        <v>989</v>
      </c>
      <c r="D412" s="0" t="n">
        <v>20</v>
      </c>
      <c r="E412" s="0" t="n">
        <v>18</v>
      </c>
      <c r="F412" s="114" t="n">
        <v>1.05</v>
      </c>
      <c r="G412" s="171" t="n">
        <f aca="false">Barrage[[#This Row],[Coefficient]]*Barrage[[#This Row],[Total Rounds]]*Barrage[[#This Row],[Base Damage]]</f>
        <v>378</v>
      </c>
      <c r="H412" s="0" t="s">
        <v>2602</v>
      </c>
      <c r="I412" s="114" t="n">
        <v>1</v>
      </c>
      <c r="J412" s="114" t="n">
        <v>0.8</v>
      </c>
      <c r="K412" s="114" t="n">
        <v>0.6</v>
      </c>
      <c r="L412" s="193"/>
      <c r="M412" s="194"/>
      <c r="N412" s="184"/>
      <c r="O412" s="184"/>
      <c r="P412" s="184"/>
      <c r="Q412" s="116"/>
      <c r="R412" s="0" t="s">
        <v>98</v>
      </c>
      <c r="T412" s="0" t="n">
        <v>1</v>
      </c>
    </row>
    <row r="413" customFormat="false" ht="14.4" hidden="false" customHeight="false" outlineLevel="0" collapsed="false">
      <c r="A413" s="0" t="s">
        <v>74</v>
      </c>
      <c r="B413" s="114" t="s">
        <v>993</v>
      </c>
      <c r="C413" s="0" t="s">
        <v>989</v>
      </c>
      <c r="D413" s="0" t="n">
        <v>42</v>
      </c>
      <c r="E413" s="0" t="n">
        <v>4</v>
      </c>
      <c r="F413" s="114" t="n">
        <v>1</v>
      </c>
      <c r="G413" s="171" t="n">
        <f aca="false">Barrage[[#This Row],[Coefficient]]*Barrage[[#This Row],[Total Rounds]]*Barrage[[#This Row],[Base Damage]]</f>
        <v>168</v>
      </c>
      <c r="H413" s="0" t="s">
        <v>2621</v>
      </c>
      <c r="I413" s="114" t="n">
        <v>0.7</v>
      </c>
      <c r="J413" s="114" t="n">
        <v>0.9</v>
      </c>
      <c r="K413" s="114" t="n">
        <v>1.2</v>
      </c>
      <c r="L413" s="193"/>
      <c r="M413" s="194"/>
      <c r="N413" s="184"/>
      <c r="O413" s="184"/>
      <c r="P413" s="184"/>
      <c r="Q413" s="116"/>
      <c r="R413" s="0" t="s">
        <v>99</v>
      </c>
      <c r="T413" s="0" t="n">
        <v>1</v>
      </c>
    </row>
    <row r="414" customFormat="false" ht="14.4" hidden="false" customHeight="false" outlineLevel="0" collapsed="false">
      <c r="A414" s="0" t="s">
        <v>444</v>
      </c>
      <c r="B414" s="0" t="s">
        <v>451</v>
      </c>
      <c r="C414" s="0" t="s">
        <v>442</v>
      </c>
      <c r="D414" s="0" t="n">
        <v>10</v>
      </c>
      <c r="E414" s="0" t="n">
        <v>27</v>
      </c>
      <c r="F414" s="114" t="n">
        <v>1</v>
      </c>
      <c r="G414" s="171" t="n">
        <f aca="false">Barrage[[#This Row],[Coefficient]]*Barrage[[#This Row],[Total Rounds]]*Barrage[[#This Row],[Base Damage]]</f>
        <v>270</v>
      </c>
      <c r="H414" s="0" t="s">
        <v>2602</v>
      </c>
      <c r="I414" s="114" t="n">
        <v>1.2</v>
      </c>
      <c r="J414" s="114" t="n">
        <v>0.6</v>
      </c>
      <c r="K414" s="114" t="n">
        <v>0.6</v>
      </c>
      <c r="L414" s="193"/>
      <c r="M414" s="194"/>
      <c r="N414" s="184"/>
      <c r="O414" s="184"/>
      <c r="P414" s="184"/>
      <c r="Q414" s="116"/>
      <c r="R414" s="0" t="s">
        <v>98</v>
      </c>
      <c r="T414" s="0" t="n">
        <v>1</v>
      </c>
    </row>
    <row r="415" customFormat="false" ht="14.4" hidden="false" customHeight="false" outlineLevel="0" collapsed="false">
      <c r="A415" s="0" t="s">
        <v>394</v>
      </c>
      <c r="B415" s="114" t="s">
        <v>1654</v>
      </c>
      <c r="C415" s="0" t="s">
        <v>1653</v>
      </c>
      <c r="D415" s="0" t="n">
        <v>35</v>
      </c>
      <c r="E415" s="0" t="n">
        <v>15</v>
      </c>
      <c r="F415" s="114" t="n">
        <v>1</v>
      </c>
      <c r="G415" s="171" t="n">
        <f aca="false">Barrage[[#This Row],[Coefficient]]*Barrage[[#This Row],[Total Rounds]]*Barrage[[#This Row],[Base Damage]]</f>
        <v>525</v>
      </c>
      <c r="H415" s="175" t="s">
        <v>2612</v>
      </c>
      <c r="I415" s="114" t="n">
        <v>1.25</v>
      </c>
      <c r="J415" s="114" t="n">
        <v>1</v>
      </c>
      <c r="K415" s="114" t="n">
        <v>0.8</v>
      </c>
      <c r="L415" s="193"/>
      <c r="M415" s="194"/>
      <c r="N415" s="184"/>
      <c r="O415" s="184"/>
      <c r="P415" s="184"/>
      <c r="Q415" s="116"/>
      <c r="R415" s="0" t="s">
        <v>98</v>
      </c>
      <c r="T415" s="0" t="n">
        <v>1</v>
      </c>
    </row>
    <row r="416" customFormat="false" ht="14.4" hidden="false" customHeight="false" outlineLevel="0" collapsed="false">
      <c r="A416" s="0" t="s">
        <v>394</v>
      </c>
      <c r="B416" s="114" t="s">
        <v>1655</v>
      </c>
      <c r="C416" s="0" t="s">
        <v>1653</v>
      </c>
      <c r="D416" s="0" t="n">
        <v>35</v>
      </c>
      <c r="E416" s="0" t="n">
        <v>8</v>
      </c>
      <c r="F416" s="114" t="n">
        <v>1</v>
      </c>
      <c r="G416" s="171" t="n">
        <f aca="false">Barrage[[#This Row],[Coefficient]]*Barrage[[#This Row],[Total Rounds]]*Barrage[[#This Row],[Base Damage]]</f>
        <v>280</v>
      </c>
      <c r="H416" s="174" t="s">
        <v>2611</v>
      </c>
      <c r="I416" s="114" t="n">
        <v>0.75</v>
      </c>
      <c r="J416" s="114" t="n">
        <v>1.1</v>
      </c>
      <c r="K416" s="114" t="n">
        <v>0.75</v>
      </c>
      <c r="L416" s="193"/>
      <c r="M416" s="194"/>
      <c r="N416" s="184"/>
      <c r="O416" s="184"/>
      <c r="P416" s="184"/>
      <c r="Q416" s="116"/>
      <c r="R416" s="0" t="s">
        <v>98</v>
      </c>
      <c r="T416" s="0" t="n">
        <v>1</v>
      </c>
    </row>
    <row r="417" customFormat="false" ht="14.4" hidden="false" customHeight="false" outlineLevel="0" collapsed="false">
      <c r="A417" s="0" t="s">
        <v>394</v>
      </c>
      <c r="B417" s="114" t="s">
        <v>1656</v>
      </c>
      <c r="C417" s="0" t="s">
        <v>1653</v>
      </c>
      <c r="D417" s="0" t="n">
        <v>30</v>
      </c>
      <c r="E417" s="0" t="n">
        <v>15</v>
      </c>
      <c r="F417" s="114" t="n">
        <v>1</v>
      </c>
      <c r="G417" s="171" t="n">
        <f aca="false">Barrage[[#This Row],[Coefficient]]*Barrage[[#This Row],[Total Rounds]]*Barrage[[#This Row],[Base Damage]]</f>
        <v>450</v>
      </c>
      <c r="H417" s="175" t="s">
        <v>2612</v>
      </c>
      <c r="I417" s="114" t="n">
        <v>1.25</v>
      </c>
      <c r="J417" s="114" t="n">
        <v>0.85</v>
      </c>
      <c r="K417" s="114" t="n">
        <v>0.65</v>
      </c>
      <c r="L417" s="193"/>
      <c r="M417" s="194"/>
      <c r="N417" s="184"/>
      <c r="O417" s="184"/>
      <c r="P417" s="184"/>
      <c r="Q417" s="116"/>
      <c r="R417" s="0" t="s">
        <v>98</v>
      </c>
      <c r="T417" s="0" t="n">
        <v>1</v>
      </c>
    </row>
    <row r="418" customFormat="false" ht="14.4" hidden="false" customHeight="false" outlineLevel="0" collapsed="false">
      <c r="A418" s="0" t="s">
        <v>74</v>
      </c>
      <c r="B418" s="114" t="s">
        <v>1098</v>
      </c>
      <c r="C418" s="0" t="s">
        <v>1097</v>
      </c>
      <c r="D418" s="0" t="n">
        <v>20</v>
      </c>
      <c r="E418" s="0" t="n">
        <v>18</v>
      </c>
      <c r="F418" s="114" t="n">
        <v>1</v>
      </c>
      <c r="G418" s="171" t="n">
        <f aca="false">Barrage[[#This Row],[Coefficient]]*Barrage[[#This Row],[Total Rounds]]*Barrage[[#This Row],[Base Damage]]</f>
        <v>360</v>
      </c>
      <c r="H418" s="174" t="s">
        <v>2611</v>
      </c>
      <c r="I418" s="114" t="n">
        <v>1</v>
      </c>
      <c r="J418" s="114" t="n">
        <v>1</v>
      </c>
      <c r="K418" s="114" t="n">
        <v>1</v>
      </c>
      <c r="L418" s="193"/>
      <c r="M418" s="194"/>
      <c r="N418" s="184"/>
      <c r="O418" s="184"/>
      <c r="P418" s="184"/>
      <c r="Q418" s="116"/>
      <c r="R418" s="0" t="s">
        <v>98</v>
      </c>
      <c r="T418" s="0" t="n">
        <v>1</v>
      </c>
    </row>
    <row r="419" customFormat="false" ht="14.4" hidden="false" customHeight="false" outlineLevel="0" collapsed="false">
      <c r="A419" s="0" t="s">
        <v>74</v>
      </c>
      <c r="B419" s="114" t="s">
        <v>1099</v>
      </c>
      <c r="C419" s="0" t="s">
        <v>1097</v>
      </c>
      <c r="D419" s="0" t="n">
        <v>20</v>
      </c>
      <c r="E419" s="0" t="n">
        <v>9</v>
      </c>
      <c r="F419" s="114" t="n">
        <v>1</v>
      </c>
      <c r="G419" s="171" t="n">
        <f aca="false">Barrage[[#This Row],[Coefficient]]*Barrage[[#This Row],[Total Rounds]]*Barrage[[#This Row],[Base Damage]]</f>
        <v>180</v>
      </c>
      <c r="H419" s="175" t="s">
        <v>2612</v>
      </c>
      <c r="I419" s="114" t="n">
        <v>1</v>
      </c>
      <c r="J419" s="114" t="n">
        <v>0.8</v>
      </c>
      <c r="K419" s="114" t="n">
        <v>0.6</v>
      </c>
      <c r="L419" s="193"/>
      <c r="M419" s="194"/>
      <c r="N419" s="184"/>
      <c r="O419" s="184"/>
      <c r="P419" s="184"/>
      <c r="Q419" s="116"/>
      <c r="R419" s="0" t="s">
        <v>98</v>
      </c>
      <c r="T419" s="0" t="n">
        <v>1</v>
      </c>
    </row>
    <row r="420" customFormat="false" ht="14.4" hidden="false" customHeight="false" outlineLevel="0" collapsed="false">
      <c r="A420" s="0" t="s">
        <v>74</v>
      </c>
      <c r="B420" s="114" t="s">
        <v>1107</v>
      </c>
      <c r="C420" s="0" t="s">
        <v>1106</v>
      </c>
      <c r="D420" s="0" t="n">
        <v>20</v>
      </c>
      <c r="E420" s="0" t="n">
        <v>66</v>
      </c>
      <c r="F420" s="114" t="n">
        <v>1.25</v>
      </c>
      <c r="G420" s="171" t="n">
        <f aca="false">Barrage[[#This Row],[Coefficient]]*Barrage[[#This Row],[Total Rounds]]*Barrage[[#This Row],[Base Damage]]</f>
        <v>1650</v>
      </c>
      <c r="H420" s="174" t="s">
        <v>2611</v>
      </c>
      <c r="I420" s="114" t="n">
        <v>1.1</v>
      </c>
      <c r="J420" s="114" t="n">
        <v>0.9</v>
      </c>
      <c r="K420" s="114" t="n">
        <v>0.7</v>
      </c>
      <c r="L420" s="193"/>
      <c r="M420" s="194"/>
      <c r="N420" s="184"/>
      <c r="O420" s="184"/>
      <c r="P420" s="184"/>
      <c r="Q420" s="116"/>
      <c r="R420" s="0" t="s">
        <v>98</v>
      </c>
      <c r="T420" s="0" t="n">
        <v>1</v>
      </c>
    </row>
    <row r="421" customFormat="false" ht="14.4" hidden="false" customHeight="false" outlineLevel="0" collapsed="false">
      <c r="A421" s="0" t="s">
        <v>121</v>
      </c>
      <c r="B421" s="0" t="s">
        <v>1403</v>
      </c>
      <c r="C421" s="0" t="s">
        <v>1402</v>
      </c>
      <c r="D421" s="0" t="n">
        <v>15</v>
      </c>
      <c r="E421" s="0" t="n">
        <v>32</v>
      </c>
      <c r="F421" s="114" t="n">
        <v>1</v>
      </c>
      <c r="G421" s="171" t="n">
        <f aca="false">Barrage[[#This Row],[Coefficient]]*Barrage[[#This Row],[Total Rounds]]*Barrage[[#This Row],[Base Damage]]</f>
        <v>480</v>
      </c>
      <c r="H421" s="174" t="s">
        <v>2611</v>
      </c>
      <c r="I421" s="114" t="n">
        <v>0.75</v>
      </c>
      <c r="J421" s="114" t="n">
        <v>1.1</v>
      </c>
      <c r="K421" s="114" t="n">
        <v>0.75</v>
      </c>
      <c r="L421" s="193"/>
      <c r="M421" s="194"/>
      <c r="N421" s="184"/>
      <c r="O421" s="184"/>
      <c r="P421" s="184"/>
      <c r="Q421" s="116"/>
      <c r="R421" s="0" t="s">
        <v>98</v>
      </c>
      <c r="T421" s="0" t="n">
        <v>1</v>
      </c>
    </row>
    <row r="422" customFormat="false" ht="14.4" hidden="false" customHeight="false" outlineLevel="0" collapsed="false">
      <c r="A422" s="0" t="s">
        <v>394</v>
      </c>
      <c r="B422" s="0" t="s">
        <v>1720</v>
      </c>
      <c r="C422" s="0" t="s">
        <v>1719</v>
      </c>
      <c r="D422" s="0" t="n">
        <v>22</v>
      </c>
      <c r="E422" s="0" t="n">
        <v>50</v>
      </c>
      <c r="F422" s="114" t="n">
        <v>1</v>
      </c>
      <c r="G422" s="171" t="n">
        <f aca="false">Barrage[[#This Row],[Coefficient]]*Barrage[[#This Row],[Total Rounds]]*Barrage[[#This Row],[Base Damage]]</f>
        <v>1100</v>
      </c>
      <c r="H422" s="0" t="s">
        <v>2602</v>
      </c>
      <c r="I422" s="114" t="n">
        <v>1</v>
      </c>
      <c r="J422" s="114" t="n">
        <v>1</v>
      </c>
      <c r="K422" s="114" t="n">
        <v>1</v>
      </c>
      <c r="L422" s="193"/>
      <c r="M422" s="194"/>
      <c r="N422" s="184"/>
      <c r="O422" s="184"/>
      <c r="P422" s="184"/>
      <c r="Q422" s="116"/>
      <c r="R422" s="0" t="s">
        <v>98</v>
      </c>
      <c r="T422" s="0" t="n">
        <v>1</v>
      </c>
    </row>
    <row r="423" customFormat="false" ht="14.4" hidden="false" customHeight="false" outlineLevel="0" collapsed="false">
      <c r="A423" s="0" t="s">
        <v>394</v>
      </c>
      <c r="B423" s="0" t="s">
        <v>1721</v>
      </c>
      <c r="C423" s="0" t="s">
        <v>1719</v>
      </c>
      <c r="D423" s="0" t="n">
        <v>40</v>
      </c>
      <c r="E423" s="0" t="n">
        <v>24</v>
      </c>
      <c r="F423" s="114" t="n">
        <v>1</v>
      </c>
      <c r="G423" s="171" t="n">
        <f aca="false">Barrage[[#This Row],[Coefficient]]*Barrage[[#This Row],[Total Rounds]]*Barrage[[#This Row],[Base Damage]]</f>
        <v>960</v>
      </c>
      <c r="H423" s="174" t="s">
        <v>2611</v>
      </c>
      <c r="I423" s="114" t="n">
        <v>0.75</v>
      </c>
      <c r="J423" s="114" t="n">
        <v>1.1</v>
      </c>
      <c r="K423" s="114" t="n">
        <v>0.75</v>
      </c>
      <c r="L423" s="193"/>
      <c r="M423" s="194"/>
      <c r="N423" s="184"/>
      <c r="O423" s="184"/>
      <c r="P423" s="184"/>
      <c r="Q423" s="116"/>
      <c r="R423" s="0" t="s">
        <v>98</v>
      </c>
      <c r="T423" s="0" t="n">
        <v>1</v>
      </c>
    </row>
    <row r="424" customFormat="false" ht="14.4" hidden="false" customHeight="false" outlineLevel="0" collapsed="false">
      <c r="A424" s="0" t="s">
        <v>2123</v>
      </c>
      <c r="B424" s="0" t="s">
        <v>2260</v>
      </c>
      <c r="C424" s="0" t="s">
        <v>2259</v>
      </c>
      <c r="D424" s="0" t="n">
        <v>240</v>
      </c>
      <c r="E424" s="0" t="n">
        <v>6</v>
      </c>
      <c r="F424" s="114" t="n">
        <v>1</v>
      </c>
      <c r="G424" s="171" t="n">
        <f aca="false">Barrage[[#This Row],[Coefficient]]*Barrage[[#This Row],[Total Rounds]]*Barrage[[#This Row],[Base Damage]]</f>
        <v>1440</v>
      </c>
      <c r="H424" s="0" t="s">
        <v>2704</v>
      </c>
      <c r="I424" s="114" t="n">
        <v>0.8</v>
      </c>
      <c r="J424" s="114" t="n">
        <v>1.1</v>
      </c>
      <c r="K424" s="114" t="n">
        <v>1.3</v>
      </c>
      <c r="L424" s="193"/>
      <c r="M424" s="194"/>
      <c r="N424" s="184"/>
      <c r="O424" s="184"/>
      <c r="P424" s="184"/>
      <c r="Q424" s="116"/>
      <c r="R424" s="0" t="s">
        <v>2705</v>
      </c>
      <c r="T424" s="0" t="n">
        <v>1</v>
      </c>
    </row>
    <row r="425" customFormat="false" ht="14.4" hidden="false" customHeight="false" outlineLevel="0" collapsed="false">
      <c r="A425" s="0" t="s">
        <v>325</v>
      </c>
      <c r="B425" s="0" t="s">
        <v>2528</v>
      </c>
      <c r="C425" s="0" t="s">
        <v>2526</v>
      </c>
      <c r="D425" s="0" t="n">
        <v>60</v>
      </c>
      <c r="E425" s="0" t="n">
        <v>9</v>
      </c>
      <c r="F425" s="114" t="n">
        <v>1</v>
      </c>
      <c r="G425" s="171" t="n">
        <f aca="false">Barrage[[#This Row],[Coefficient]]*Barrage[[#This Row],[Total Rounds]]*Barrage[[#This Row],[Base Damage]]</f>
        <v>540</v>
      </c>
      <c r="H425" s="0" t="s">
        <v>2621</v>
      </c>
      <c r="I425" s="114" t="n">
        <v>0.8</v>
      </c>
      <c r="J425" s="114" t="n">
        <v>1</v>
      </c>
      <c r="K425" s="114" t="n">
        <v>1.3</v>
      </c>
      <c r="L425" s="193"/>
      <c r="M425" s="194"/>
      <c r="N425" s="184"/>
      <c r="O425" s="184"/>
      <c r="P425" s="184"/>
      <c r="Q425" s="116"/>
      <c r="R425" s="0" t="s">
        <v>99</v>
      </c>
      <c r="T425" s="0" t="n">
        <v>1</v>
      </c>
    </row>
    <row r="426" customFormat="false" ht="14.4" hidden="false" customHeight="false" outlineLevel="0" collapsed="false">
      <c r="A426" s="0" t="s">
        <v>325</v>
      </c>
      <c r="B426" s="0" t="s">
        <v>2527</v>
      </c>
      <c r="C426" s="0" t="s">
        <v>2526</v>
      </c>
      <c r="D426" s="0" t="n">
        <v>40</v>
      </c>
      <c r="E426" s="0" t="n">
        <v>11</v>
      </c>
      <c r="F426" s="114" t="n">
        <v>1</v>
      </c>
      <c r="G426" s="171" t="n">
        <f aca="false">Barrage[[#This Row],[Coefficient]]*Barrage[[#This Row],[Total Rounds]]*Barrage[[#This Row],[Base Damage]]</f>
        <v>440</v>
      </c>
      <c r="H426" s="0" t="s">
        <v>2621</v>
      </c>
      <c r="I426" s="114" t="n">
        <v>0.8</v>
      </c>
      <c r="J426" s="114" t="n">
        <v>1</v>
      </c>
      <c r="K426" s="114" t="n">
        <v>1.3</v>
      </c>
      <c r="L426" s="193"/>
      <c r="M426" s="194"/>
      <c r="N426" s="184"/>
      <c r="O426" s="184"/>
      <c r="P426" s="184"/>
      <c r="Q426" s="116"/>
      <c r="R426" s="0" t="s">
        <v>99</v>
      </c>
      <c r="T426" s="0" t="n">
        <v>1.2</v>
      </c>
    </row>
    <row r="427" customFormat="false" ht="14.4" hidden="false" customHeight="false" outlineLevel="0" collapsed="false">
      <c r="A427" s="0" t="s">
        <v>242</v>
      </c>
      <c r="B427" s="0" t="s">
        <v>2444</v>
      </c>
      <c r="C427" s="0" t="s">
        <v>2443</v>
      </c>
      <c r="D427" s="0" t="n">
        <v>207</v>
      </c>
      <c r="E427" s="0" t="n">
        <v>4</v>
      </c>
      <c r="F427" s="114" t="n">
        <v>1</v>
      </c>
      <c r="G427" s="171" t="n">
        <f aca="false">Barrage[[#This Row],[Coefficient]]*Barrage[[#This Row],[Total Rounds]]*Barrage[[#This Row],[Base Damage]]</f>
        <v>828</v>
      </c>
      <c r="H427" s="0" t="s">
        <v>2704</v>
      </c>
      <c r="I427" s="114" t="n">
        <v>0.8</v>
      </c>
      <c r="J427" s="114" t="n">
        <v>0.9</v>
      </c>
      <c r="K427" s="114" t="n">
        <v>1.1</v>
      </c>
      <c r="L427" s="193"/>
      <c r="M427" s="194"/>
      <c r="N427" s="184"/>
      <c r="O427" s="184"/>
      <c r="P427" s="184"/>
      <c r="Q427" s="116"/>
      <c r="R427" s="0" t="s">
        <v>2705</v>
      </c>
      <c r="T427" s="0" t="n">
        <v>0.8</v>
      </c>
    </row>
  </sheetData>
  <conditionalFormatting sqref="G2:G58">
    <cfRule type="colorScale" priority="2">
      <colorScale>
        <cfvo type="min" val="0"/>
        <cfvo type="percentile" val="50"/>
        <cfvo type="max" val="0"/>
        <color rgb="FFF8696B"/>
        <color rgb="FFFFEB84"/>
        <color rgb="FF63BE7B"/>
      </colorScale>
    </cfRule>
  </conditionalFormatting>
  <conditionalFormatting sqref="G59:G84">
    <cfRule type="colorScale" priority="3">
      <colorScale>
        <cfvo type="min" val="0"/>
        <cfvo type="percentile" val="50"/>
        <cfvo type="max" val="0"/>
        <color rgb="FFF8696B"/>
        <color rgb="FFFFEB84"/>
        <color rgb="FF63BE7B"/>
      </colorScale>
    </cfRule>
  </conditionalFormatting>
  <conditionalFormatting sqref="G85:G109">
    <cfRule type="colorScale" priority="4">
      <colorScale>
        <cfvo type="min" val="0"/>
        <cfvo type="percentile" val="50"/>
        <cfvo type="max" val="0"/>
        <color rgb="FFF8696B"/>
        <color rgb="FFFFEB84"/>
        <color rgb="FF63BE7B"/>
      </colorScale>
    </cfRule>
  </conditionalFormatting>
  <conditionalFormatting sqref="G110:G119">
    <cfRule type="colorScale" priority="5">
      <colorScale>
        <cfvo type="min" val="0"/>
        <cfvo type="percentile" val="50"/>
        <cfvo type="max" val="0"/>
        <color rgb="FFF8696B"/>
        <color rgb="FFFFEB84"/>
        <color rgb="FF63BE7B"/>
      </colorScale>
    </cfRule>
  </conditionalFormatting>
  <conditionalFormatting sqref="G271:G292">
    <cfRule type="colorScale" priority="6">
      <colorScale>
        <cfvo type="min" val="0"/>
        <cfvo type="percentile" val="50"/>
        <cfvo type="max" val="0"/>
        <color rgb="FFF8696B"/>
        <color rgb="FFFFEB84"/>
        <color rgb="FF63BE7B"/>
      </colorScale>
    </cfRule>
  </conditionalFormatting>
  <conditionalFormatting sqref="G284:G292">
    <cfRule type="colorScale" priority="7">
      <colorScale>
        <cfvo type="min" val="0"/>
        <cfvo type="percentile" val="50"/>
        <cfvo type="max" val="0"/>
        <color rgb="FFF8696B"/>
        <color rgb="FFFFEB84"/>
        <color rgb="FF63BE7B"/>
      </colorScale>
    </cfRule>
  </conditionalFormatting>
  <conditionalFormatting sqref="G296:G427">
    <cfRule type="colorScale" priority="8">
      <colorScale>
        <cfvo type="min" val="0"/>
        <cfvo type="percentile" val="50"/>
        <cfvo type="max" val="0"/>
        <color rgb="FFF8696B"/>
        <color rgb="FFFFEB84"/>
        <color rgb="FF63BE7B"/>
      </colorScale>
    </cfRule>
  </conditionalFormatting>
  <conditionalFormatting sqref="G298:G427">
    <cfRule type="colorScale" priority="9">
      <colorScale>
        <cfvo type="min" val="0"/>
        <cfvo type="percentile" val="50"/>
        <cfvo type="max" val="0"/>
        <color rgb="FFF8696B"/>
        <color rgb="FFFFEB84"/>
        <color rgb="FF63BE7B"/>
      </colorScale>
    </cfRule>
  </conditionalFormatting>
  <conditionalFormatting sqref="G300:G427">
    <cfRule type="colorScale" priority="10">
      <colorScale>
        <cfvo type="min" val="0"/>
        <cfvo type="percentile" val="50"/>
        <cfvo type="max" val="0"/>
        <color rgb="FFF8696B"/>
        <color rgb="FFFFEB84"/>
        <color rgb="FF63BE7B"/>
      </colorScale>
    </cfRule>
  </conditionalFormatting>
  <conditionalFormatting sqref="G301:G427">
    <cfRule type="colorScale" priority="11">
      <colorScale>
        <cfvo type="min" val="0"/>
        <cfvo type="percentile" val="50"/>
        <cfvo type="max" val="0"/>
        <color rgb="FFF8696B"/>
        <color rgb="FFFFEB84"/>
        <color rgb="FF63BE7B"/>
      </colorScale>
    </cfRule>
  </conditionalFormatting>
  <conditionalFormatting sqref="G302:G427">
    <cfRule type="colorScale" priority="12">
      <colorScale>
        <cfvo type="min" val="0"/>
        <cfvo type="percentile" val="50"/>
        <cfvo type="max" val="0"/>
        <color rgb="FFF8696B"/>
        <color rgb="FFFFEB84"/>
        <color rgb="FF63BE7B"/>
      </colorScale>
    </cfRule>
  </conditionalFormatting>
  <conditionalFormatting sqref="G295:G427">
    <cfRule type="colorScale" priority="13">
      <colorScale>
        <cfvo type="min" val="0"/>
        <cfvo type="percentile" val="50"/>
        <cfvo type="max" val="0"/>
        <color rgb="FFF8696B"/>
        <color rgb="FFFFEB84"/>
        <color rgb="FF63BE7B"/>
      </colorScale>
    </cfRule>
  </conditionalFormatting>
  <conditionalFormatting sqref="G2:G427">
    <cfRule type="colorScale" priority="14">
      <colorScale>
        <cfvo type="min" val="0"/>
        <cfvo type="percentile" val="50"/>
        <cfvo type="max" val="0"/>
        <color rgb="FFF8696B"/>
        <color rgb="FFFFEB84"/>
        <color rgb="FF63BE7B"/>
      </colorScale>
    </cfRule>
  </conditionalFormatting>
  <conditionalFormatting sqref="G330:G427">
    <cfRule type="colorScale" priority="15">
      <colorScale>
        <cfvo type="min" val="0"/>
        <cfvo type="percentile" val="50"/>
        <cfvo type="max" val="0"/>
        <color rgb="FFF8696B"/>
        <color rgb="FFFFEB84"/>
        <color rgb="FF63BE7B"/>
      </colorScale>
    </cfRule>
  </conditionalFormatting>
  <conditionalFormatting sqref="G394:G427">
    <cfRule type="colorScale" priority="16">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84"/>
  <sheetViews>
    <sheetView showFormulas="false" showGridLines="true" showRowColHeaders="true" showZeros="true" rightToLeft="false" tabSelected="false" showOutlineSymbols="true" defaultGridColor="true" view="normal" topLeftCell="A334" colorId="64" zoomScale="80" zoomScaleNormal="80" zoomScalePageLayoutView="100" workbookViewId="0">
      <selection pane="topLeft" activeCell="G345" activeCellId="0" sqref="G345"/>
    </sheetView>
  </sheetViews>
  <sheetFormatPr defaultColWidth="8.58984375" defaultRowHeight="14.4" zeroHeight="false" outlineLevelRow="0" outlineLevelCol="0"/>
  <cols>
    <col collapsed="false" customWidth="true" hidden="false" outlineLevel="0" max="1" min="1" style="0" width="31.35"/>
    <col collapsed="false" customWidth="true" hidden="false" outlineLevel="0" max="2" min="2" style="0" width="15.34"/>
    <col collapsed="false" customWidth="true" hidden="false" outlineLevel="0" max="3" min="3" style="0" width="10.65"/>
    <col collapsed="false" customWidth="true" hidden="false" outlineLevel="0" max="4" min="4" style="0" width="9.33"/>
    <col collapsed="false" customWidth="true" hidden="false" outlineLevel="0" max="5" min="5" style="0" width="10"/>
    <col collapsed="false" customWidth="true" hidden="false" outlineLevel="0" max="6" min="6" style="0" width="8.89"/>
    <col collapsed="false" customWidth="true" hidden="false" outlineLevel="0" max="7" min="7" style="0" width="10"/>
    <col collapsed="false" customWidth="true" hidden="false" outlineLevel="0" max="10" min="8" style="0" width="8.89"/>
    <col collapsed="false" customWidth="true" hidden="false" outlineLevel="0" max="11" min="11" style="0" width="12.66"/>
    <col collapsed="false" customWidth="true" hidden="false" outlineLevel="0" max="12" min="12" style="0" width="8.89"/>
    <col collapsed="false" customWidth="true" hidden="false" outlineLevel="0" max="13" min="13" style="0" width="13.66"/>
    <col collapsed="false" customWidth="true" hidden="false" outlineLevel="0" max="15" min="14" style="0" width="8.89"/>
    <col collapsed="false" customWidth="true" hidden="false" outlineLevel="0" max="16" min="16" style="0" width="12.1"/>
    <col collapsed="false" customWidth="true" hidden="false" outlineLevel="0" max="17" min="17" style="0" width="12.44"/>
    <col collapsed="false" customWidth="true" hidden="false" outlineLevel="0" max="19" min="19" style="0" width="13.1"/>
    <col collapsed="false" customWidth="true" hidden="false" outlineLevel="0" max="21" min="21" style="0" width="10.99"/>
  </cols>
  <sheetData>
    <row r="1" customFormat="false" ht="14.4" hidden="false" customHeight="false" outlineLevel="0" collapsed="false">
      <c r="A1" s="144" t="s">
        <v>97</v>
      </c>
      <c r="B1" s="144" t="s">
        <v>96</v>
      </c>
      <c r="C1" s="144" t="s">
        <v>98</v>
      </c>
      <c r="D1" s="144" t="s">
        <v>50</v>
      </c>
      <c r="E1" s="144" t="s">
        <v>173</v>
      </c>
      <c r="F1" s="144" t="s">
        <v>151</v>
      </c>
      <c r="G1" s="144" t="s">
        <v>179</v>
      </c>
      <c r="H1" s="144" t="s">
        <v>154</v>
      </c>
      <c r="I1" s="144" t="s">
        <v>184</v>
      </c>
      <c r="J1" s="144" t="s">
        <v>2749</v>
      </c>
      <c r="K1" s="144" t="s">
        <v>2750</v>
      </c>
      <c r="L1" s="144" t="s">
        <v>2751</v>
      </c>
      <c r="M1" s="144" t="s">
        <v>2752</v>
      </c>
      <c r="N1" s="144" t="s">
        <v>141</v>
      </c>
      <c r="R1" s="144" t="s">
        <v>2753</v>
      </c>
      <c r="S1" s="144" t="s">
        <v>96</v>
      </c>
      <c r="U1" s="144" t="s">
        <v>96</v>
      </c>
    </row>
    <row r="2" customFormat="false" ht="14.4" hidden="false" customHeight="false" outlineLevel="0" collapsed="false">
      <c r="A2" s="0" t="s">
        <v>2754</v>
      </c>
      <c r="B2" s="0" t="s">
        <v>74</v>
      </c>
      <c r="C2" s="0" t="n">
        <v>12</v>
      </c>
      <c r="D2" s="0" t="n">
        <v>0</v>
      </c>
      <c r="E2" s="0" t="n">
        <v>7</v>
      </c>
      <c r="F2" s="0" t="n">
        <v>1.25</v>
      </c>
      <c r="G2" s="0" t="n">
        <v>1</v>
      </c>
      <c r="H2" s="0" t="n">
        <v>0</v>
      </c>
      <c r="I2" s="0" t="n">
        <v>0.76</v>
      </c>
      <c r="J2" s="0" t="n">
        <v>40</v>
      </c>
      <c r="K2" s="0" t="s">
        <v>2755</v>
      </c>
      <c r="L2" s="0" t="s">
        <v>2756</v>
      </c>
      <c r="M2" s="0" t="s">
        <v>2757</v>
      </c>
      <c r="N2" s="0" t="s">
        <v>2758</v>
      </c>
      <c r="R2" s="0" t="s">
        <v>2602</v>
      </c>
      <c r="S2" s="0" t="s">
        <v>2602</v>
      </c>
      <c r="U2" s="0" t="s">
        <v>50</v>
      </c>
    </row>
    <row r="3" customFormat="false" ht="14.4" hidden="false" customHeight="false" outlineLevel="0" collapsed="false">
      <c r="A3" s="0" t="s">
        <v>2759</v>
      </c>
      <c r="B3" s="0" t="s">
        <v>74</v>
      </c>
      <c r="C3" s="0" t="n">
        <v>12</v>
      </c>
      <c r="D3" s="0" t="n">
        <v>0</v>
      </c>
      <c r="E3" s="0" t="n">
        <v>11</v>
      </c>
      <c r="F3" s="0" t="n">
        <v>1.25</v>
      </c>
      <c r="G3" s="0" t="n">
        <v>1</v>
      </c>
      <c r="H3" s="0" t="n">
        <v>0</v>
      </c>
      <c r="I3" s="0" t="n">
        <v>0.76</v>
      </c>
      <c r="J3" s="0" t="n">
        <v>45</v>
      </c>
      <c r="K3" s="0" t="s">
        <v>2760</v>
      </c>
      <c r="L3" s="0" t="s">
        <v>2756</v>
      </c>
      <c r="M3" s="0" t="s">
        <v>2757</v>
      </c>
      <c r="N3" s="0" t="s">
        <v>2602</v>
      </c>
      <c r="R3" s="0" t="s">
        <v>2602</v>
      </c>
      <c r="S3" s="0" t="s">
        <v>2758</v>
      </c>
      <c r="U3" s="0" t="s">
        <v>114</v>
      </c>
    </row>
    <row r="4" customFormat="false" ht="14.4" hidden="false" customHeight="false" outlineLevel="0" collapsed="false">
      <c r="A4" s="0" t="s">
        <v>2761</v>
      </c>
      <c r="B4" s="0" t="s">
        <v>74</v>
      </c>
      <c r="C4" s="0" t="n">
        <v>25</v>
      </c>
      <c r="D4" s="0" t="n">
        <v>0</v>
      </c>
      <c r="E4" s="0" t="n">
        <v>15</v>
      </c>
      <c r="F4" s="0" t="n">
        <v>1.25</v>
      </c>
      <c r="G4" s="0" t="n">
        <v>3</v>
      </c>
      <c r="H4" s="0" t="n">
        <v>0.3</v>
      </c>
      <c r="I4" s="0" t="n">
        <v>1.06</v>
      </c>
      <c r="J4" s="0" t="n">
        <v>60</v>
      </c>
      <c r="K4" s="0" t="s">
        <v>2762</v>
      </c>
      <c r="L4" s="0" t="s">
        <v>2756</v>
      </c>
      <c r="M4" s="0" t="s">
        <v>2757</v>
      </c>
      <c r="N4" s="0" t="s">
        <v>2612</v>
      </c>
      <c r="R4" s="0" t="s">
        <v>2612</v>
      </c>
      <c r="S4" s="0" t="s">
        <v>2612</v>
      </c>
      <c r="U4" s="0" t="s">
        <v>394</v>
      </c>
    </row>
    <row r="5" customFormat="false" ht="14.4" hidden="false" customHeight="false" outlineLevel="0" collapsed="false">
      <c r="A5" s="0" t="s">
        <v>2763</v>
      </c>
      <c r="B5" s="0" t="s">
        <v>74</v>
      </c>
      <c r="C5" s="0" t="n">
        <v>12</v>
      </c>
      <c r="D5" s="0" t="n">
        <v>0</v>
      </c>
      <c r="E5" s="0" t="n">
        <v>9</v>
      </c>
      <c r="F5" s="0" t="n">
        <v>1.25</v>
      </c>
      <c r="G5" s="0" t="n">
        <v>1</v>
      </c>
      <c r="H5" s="0" t="n">
        <v>0</v>
      </c>
      <c r="I5" s="0" t="n">
        <v>1.09</v>
      </c>
      <c r="J5" s="0" t="n">
        <v>45</v>
      </c>
      <c r="K5" s="0" t="s">
        <v>2764</v>
      </c>
      <c r="L5" s="0" t="s">
        <v>2756</v>
      </c>
      <c r="M5" s="0" t="s">
        <v>2757</v>
      </c>
      <c r="N5" s="0" t="s">
        <v>2611</v>
      </c>
      <c r="R5" s="0" t="s">
        <v>2612</v>
      </c>
      <c r="S5" s="0" t="s">
        <v>2765</v>
      </c>
      <c r="U5" s="0" t="s">
        <v>121</v>
      </c>
    </row>
    <row r="6" customFormat="false" ht="14.4" hidden="false" customHeight="false" outlineLevel="0" collapsed="false">
      <c r="A6" s="0" t="s">
        <v>2766</v>
      </c>
      <c r="B6" s="0" t="s">
        <v>74</v>
      </c>
      <c r="C6" s="0" t="n">
        <v>12</v>
      </c>
      <c r="D6" s="0" t="n">
        <v>0</v>
      </c>
      <c r="E6" s="0" t="n">
        <v>12</v>
      </c>
      <c r="F6" s="0" t="n">
        <v>1.25</v>
      </c>
      <c r="G6" s="0" t="n">
        <v>3</v>
      </c>
      <c r="H6" s="0" t="n">
        <v>0.3</v>
      </c>
      <c r="I6" s="0" t="n">
        <v>1.42</v>
      </c>
      <c r="J6" s="0" t="n">
        <v>65</v>
      </c>
      <c r="K6" s="0" t="s">
        <v>2767</v>
      </c>
      <c r="L6" s="0" t="s">
        <v>2756</v>
      </c>
      <c r="M6" s="0" t="s">
        <v>2757</v>
      </c>
      <c r="N6" s="0" t="s">
        <v>2602</v>
      </c>
      <c r="R6" s="0" t="s">
        <v>2612</v>
      </c>
      <c r="S6" s="0" t="s">
        <v>2768</v>
      </c>
      <c r="U6" s="0" t="s">
        <v>74</v>
      </c>
    </row>
    <row r="7" customFormat="false" ht="14.4" hidden="false" customHeight="false" outlineLevel="0" collapsed="false">
      <c r="A7" s="0" t="s">
        <v>2769</v>
      </c>
      <c r="B7" s="0" t="s">
        <v>74</v>
      </c>
      <c r="C7" s="0" t="n">
        <v>35</v>
      </c>
      <c r="D7" s="0" t="n">
        <v>0</v>
      </c>
      <c r="E7" s="0" t="n">
        <v>15</v>
      </c>
      <c r="F7" s="0" t="n">
        <v>1.1</v>
      </c>
      <c r="G7" s="0" t="n">
        <v>5</v>
      </c>
      <c r="H7" s="0" t="n">
        <v>0.2</v>
      </c>
      <c r="I7" s="0" t="n">
        <v>1.6</v>
      </c>
      <c r="J7" s="0" t="n">
        <v>60</v>
      </c>
      <c r="K7" s="0" t="s">
        <v>2762</v>
      </c>
      <c r="L7" s="0" t="s">
        <v>2756</v>
      </c>
      <c r="M7" s="0" t="s">
        <v>2757</v>
      </c>
      <c r="N7" s="0" t="s">
        <v>2612</v>
      </c>
      <c r="R7" s="0" t="s">
        <v>2611</v>
      </c>
      <c r="S7" s="0" t="s">
        <v>2611</v>
      </c>
      <c r="U7" s="0" t="s">
        <v>248</v>
      </c>
    </row>
    <row r="8" customFormat="false" ht="14.4" hidden="false" customHeight="false" outlineLevel="0" collapsed="false">
      <c r="A8" s="0" t="s">
        <v>2770</v>
      </c>
      <c r="B8" s="0" t="s">
        <v>74</v>
      </c>
      <c r="C8" s="0" t="n">
        <v>25</v>
      </c>
      <c r="D8" s="0" t="n">
        <v>0</v>
      </c>
      <c r="E8" s="0" t="n">
        <v>14</v>
      </c>
      <c r="F8" s="0" t="n">
        <v>1.1</v>
      </c>
      <c r="G8" s="0" t="n">
        <v>5</v>
      </c>
      <c r="H8" s="0" t="n">
        <v>0.2</v>
      </c>
      <c r="I8" s="0" t="n">
        <v>1.73</v>
      </c>
      <c r="J8" s="0" t="n">
        <v>60</v>
      </c>
      <c r="K8" s="0" t="s">
        <v>2762</v>
      </c>
      <c r="L8" s="0" t="s">
        <v>2756</v>
      </c>
      <c r="M8" s="0" t="s">
        <v>2757</v>
      </c>
      <c r="N8" s="0" t="s">
        <v>2612</v>
      </c>
      <c r="R8" s="0" t="s">
        <v>2611</v>
      </c>
      <c r="S8" s="0" t="s">
        <v>2771</v>
      </c>
      <c r="U8" s="0" t="s">
        <v>325</v>
      </c>
    </row>
    <row r="9" customFormat="false" ht="14.4" hidden="false" customHeight="false" outlineLevel="0" collapsed="false">
      <c r="A9" s="0" t="s">
        <v>2772</v>
      </c>
      <c r="B9" s="0" t="s">
        <v>74</v>
      </c>
      <c r="C9" s="0" t="n">
        <v>12</v>
      </c>
      <c r="D9" s="0" t="n">
        <v>0</v>
      </c>
      <c r="E9" s="0" t="n">
        <v>7</v>
      </c>
      <c r="F9" s="0" t="n">
        <v>1.25</v>
      </c>
      <c r="G9" s="0" t="n">
        <v>1</v>
      </c>
      <c r="H9" s="0" t="n">
        <v>0</v>
      </c>
      <c r="I9" s="0" t="n">
        <v>0.67</v>
      </c>
      <c r="J9" s="0" t="n">
        <v>40</v>
      </c>
      <c r="K9" s="0" t="s">
        <v>2773</v>
      </c>
      <c r="L9" s="0" t="s">
        <v>2756</v>
      </c>
      <c r="M9" s="0" t="s">
        <v>2757</v>
      </c>
      <c r="N9" s="0" t="s">
        <v>2758</v>
      </c>
      <c r="R9" s="0" t="s">
        <v>2611</v>
      </c>
      <c r="S9" s="0" t="s">
        <v>2731</v>
      </c>
      <c r="U9" s="0" t="s">
        <v>249</v>
      </c>
    </row>
    <row r="10" customFormat="false" ht="14.4" hidden="false" customHeight="false" outlineLevel="0" collapsed="false">
      <c r="A10" s="0" t="s">
        <v>2774</v>
      </c>
      <c r="B10" s="0" t="s">
        <v>74</v>
      </c>
      <c r="C10" s="0" t="n">
        <v>15</v>
      </c>
      <c r="D10" s="0" t="n">
        <v>30</v>
      </c>
      <c r="E10" s="0" t="n">
        <v>12</v>
      </c>
      <c r="F10" s="0" t="n">
        <v>1.1</v>
      </c>
      <c r="G10" s="0" t="n">
        <v>4</v>
      </c>
      <c r="H10" s="0" t="n">
        <v>0.1</v>
      </c>
      <c r="I10" s="0" t="n">
        <v>0.96</v>
      </c>
      <c r="J10" s="0" t="n">
        <v>45</v>
      </c>
      <c r="K10" s="0" t="s">
        <v>2764</v>
      </c>
      <c r="L10" s="0" t="s">
        <v>2756</v>
      </c>
      <c r="M10" s="0" t="s">
        <v>2757</v>
      </c>
      <c r="N10" s="0" t="s">
        <v>2602</v>
      </c>
      <c r="U10" s="0" t="s">
        <v>2775</v>
      </c>
    </row>
    <row r="11" customFormat="false" ht="14.4" hidden="false" customHeight="false" outlineLevel="0" collapsed="false">
      <c r="A11" s="0" t="s">
        <v>2776</v>
      </c>
      <c r="B11" s="0" t="s">
        <v>74</v>
      </c>
      <c r="C11" s="0" t="n">
        <v>12</v>
      </c>
      <c r="D11" s="0" t="n">
        <v>0</v>
      </c>
      <c r="E11" s="0" t="n">
        <v>7</v>
      </c>
      <c r="F11" s="0" t="n">
        <v>1.1</v>
      </c>
      <c r="G11" s="0" t="n">
        <v>2</v>
      </c>
      <c r="H11" s="0" t="n">
        <v>0.15</v>
      </c>
      <c r="I11" s="0" t="n">
        <v>1.52</v>
      </c>
      <c r="J11" s="0" t="n">
        <v>40</v>
      </c>
      <c r="K11" s="0" t="s">
        <v>2764</v>
      </c>
      <c r="L11" s="0" t="s">
        <v>2756</v>
      </c>
      <c r="M11" s="0" t="s">
        <v>2757</v>
      </c>
      <c r="N11" s="0" t="s">
        <v>2602</v>
      </c>
      <c r="U11" s="0" t="s">
        <v>2777</v>
      </c>
    </row>
    <row r="12" customFormat="false" ht="14.4" hidden="false" customHeight="false" outlineLevel="0" collapsed="false">
      <c r="A12" s="0" t="s">
        <v>2778</v>
      </c>
      <c r="B12" s="0" t="s">
        <v>74</v>
      </c>
      <c r="C12" s="0" t="n">
        <v>25</v>
      </c>
      <c r="D12" s="0" t="n">
        <v>0</v>
      </c>
      <c r="E12" s="0" t="n">
        <v>15</v>
      </c>
      <c r="F12" s="0" t="n">
        <v>1.25</v>
      </c>
      <c r="G12" s="0" t="n">
        <v>4</v>
      </c>
      <c r="H12" s="0" t="n">
        <v>0.1</v>
      </c>
      <c r="I12" s="0" t="n">
        <v>1.44</v>
      </c>
      <c r="J12" s="0" t="n">
        <v>45</v>
      </c>
      <c r="K12" s="0" t="s">
        <v>2764</v>
      </c>
      <c r="L12" s="0" t="s">
        <v>2756</v>
      </c>
      <c r="M12" s="0" t="s">
        <v>2757</v>
      </c>
      <c r="N12" s="0" t="s">
        <v>2602</v>
      </c>
    </row>
    <row r="13" customFormat="false" ht="14.4" hidden="false" customHeight="false" outlineLevel="0" collapsed="false">
      <c r="A13" s="0" t="s">
        <v>2779</v>
      </c>
      <c r="B13" s="0" t="s">
        <v>74</v>
      </c>
      <c r="C13" s="0" t="n">
        <v>25</v>
      </c>
      <c r="D13" s="0" t="n">
        <v>0</v>
      </c>
      <c r="E13" s="0" t="n">
        <v>12</v>
      </c>
      <c r="F13" s="0" t="n">
        <v>1.1</v>
      </c>
      <c r="G13" s="0" t="n">
        <v>4</v>
      </c>
      <c r="H13" s="0" t="n">
        <v>0.1</v>
      </c>
      <c r="I13" s="0" t="n">
        <v>1.52</v>
      </c>
      <c r="J13" s="0" t="n">
        <v>45</v>
      </c>
      <c r="K13" s="0" t="s">
        <v>2762</v>
      </c>
      <c r="L13" s="0" t="s">
        <v>2756</v>
      </c>
      <c r="M13" s="0" t="s">
        <v>2757</v>
      </c>
      <c r="N13" s="0" t="s">
        <v>2612</v>
      </c>
      <c r="U13" s="144" t="s">
        <v>96</v>
      </c>
    </row>
    <row r="14" customFormat="false" ht="14.4" hidden="false" customHeight="false" outlineLevel="0" collapsed="false">
      <c r="A14" s="0" t="s">
        <v>334</v>
      </c>
      <c r="B14" s="0" t="s">
        <v>74</v>
      </c>
      <c r="C14" s="0" t="n">
        <v>20</v>
      </c>
      <c r="D14" s="0" t="n">
        <v>25</v>
      </c>
      <c r="E14" s="0" t="n">
        <v>15</v>
      </c>
      <c r="F14" s="0" t="n">
        <v>1.1</v>
      </c>
      <c r="G14" s="0" t="n">
        <v>4</v>
      </c>
      <c r="H14" s="0" t="n">
        <v>0.1</v>
      </c>
      <c r="I14" s="0" t="n">
        <v>1.53</v>
      </c>
      <c r="J14" s="0" t="n">
        <v>60</v>
      </c>
      <c r="K14" s="0" t="s">
        <v>2762</v>
      </c>
      <c r="L14" s="0" t="s">
        <v>2756</v>
      </c>
      <c r="M14" s="0" t="s">
        <v>2602</v>
      </c>
      <c r="N14" s="0" t="s">
        <v>2612</v>
      </c>
      <c r="U14" s="0" t="s">
        <v>247</v>
      </c>
    </row>
    <row r="15" customFormat="false" ht="14.4" hidden="false" customHeight="false" outlineLevel="0" collapsed="false">
      <c r="A15" s="0" t="s">
        <v>2780</v>
      </c>
      <c r="B15" s="0" t="s">
        <v>74</v>
      </c>
      <c r="C15" s="0" t="n">
        <v>15</v>
      </c>
      <c r="D15" s="0" t="n">
        <v>10</v>
      </c>
      <c r="E15" s="0" t="n">
        <v>11</v>
      </c>
      <c r="F15" s="0" t="n">
        <v>1.15</v>
      </c>
      <c r="G15" s="0" t="n">
        <v>4</v>
      </c>
      <c r="H15" s="0" t="n">
        <v>0.1</v>
      </c>
      <c r="I15" s="0" t="n">
        <v>1.5</v>
      </c>
      <c r="J15" s="0" t="n">
        <v>45</v>
      </c>
      <c r="K15" s="0" t="s">
        <v>2781</v>
      </c>
      <c r="L15" s="0" t="s">
        <v>2756</v>
      </c>
      <c r="M15" s="0" t="s">
        <v>2757</v>
      </c>
      <c r="N15" s="0" t="s">
        <v>2611</v>
      </c>
      <c r="U15" s="0" t="s">
        <v>120</v>
      </c>
    </row>
    <row r="16" customFormat="false" ht="14.4" hidden="false" customHeight="false" outlineLevel="0" collapsed="false">
      <c r="A16" s="0" t="s">
        <v>2782</v>
      </c>
      <c r="B16" s="0" t="s">
        <v>74</v>
      </c>
      <c r="C16" s="0" t="n">
        <v>10</v>
      </c>
      <c r="D16" s="0" t="n">
        <v>15</v>
      </c>
      <c r="E16" s="0" t="n">
        <v>11</v>
      </c>
      <c r="F16" s="0" t="n">
        <v>1.1</v>
      </c>
      <c r="G16" s="0" t="n">
        <v>2</v>
      </c>
      <c r="H16" s="0" t="n">
        <v>0</v>
      </c>
      <c r="I16" s="0" t="n">
        <v>1.27</v>
      </c>
      <c r="J16" s="0" t="n">
        <v>45</v>
      </c>
      <c r="K16" s="0" t="s">
        <v>2783</v>
      </c>
      <c r="L16" s="0" t="s">
        <v>2756</v>
      </c>
      <c r="M16" s="0" t="s">
        <v>2757</v>
      </c>
      <c r="N16" s="0" t="s">
        <v>2611</v>
      </c>
      <c r="U16" s="0" t="s">
        <v>2583</v>
      </c>
    </row>
    <row r="17" customFormat="false" ht="14.4" hidden="false" customHeight="false" outlineLevel="0" collapsed="false">
      <c r="A17" s="0" t="s">
        <v>2784</v>
      </c>
      <c r="B17" s="0" t="s">
        <v>74</v>
      </c>
      <c r="C17" s="0" t="n">
        <v>25</v>
      </c>
      <c r="D17" s="0" t="n">
        <v>0</v>
      </c>
      <c r="E17" s="0" t="n">
        <v>10</v>
      </c>
      <c r="F17" s="0" t="n">
        <v>1.25</v>
      </c>
      <c r="G17" s="0" t="n">
        <v>3</v>
      </c>
      <c r="H17" s="0" t="n">
        <v>0.3</v>
      </c>
      <c r="I17" s="0" t="n">
        <v>2.87</v>
      </c>
      <c r="J17" s="0" t="n">
        <v>40</v>
      </c>
      <c r="K17" s="0" t="s">
        <v>2781</v>
      </c>
      <c r="L17" s="0" t="s">
        <v>2756</v>
      </c>
      <c r="M17" s="0" t="s">
        <v>2757</v>
      </c>
      <c r="N17" s="0" t="s">
        <v>2602</v>
      </c>
    </row>
    <row r="18" customFormat="false" ht="14.4" hidden="false" customHeight="false" outlineLevel="0" collapsed="false">
      <c r="A18" s="0" t="s">
        <v>2785</v>
      </c>
      <c r="B18" s="0" t="s">
        <v>74</v>
      </c>
      <c r="C18" s="0" t="n">
        <v>25</v>
      </c>
      <c r="D18" s="0" t="n">
        <v>0</v>
      </c>
      <c r="E18" s="0" t="n">
        <v>17</v>
      </c>
      <c r="F18" s="0" t="n">
        <v>1.25</v>
      </c>
      <c r="G18" s="0" t="n">
        <v>4</v>
      </c>
      <c r="H18" s="0" t="n">
        <v>0.2</v>
      </c>
      <c r="I18" s="0" t="n">
        <v>1.59</v>
      </c>
      <c r="J18" s="0" t="n">
        <v>55</v>
      </c>
      <c r="K18" s="0" t="s">
        <v>2762</v>
      </c>
      <c r="L18" s="0" t="s">
        <v>2756</v>
      </c>
      <c r="M18" s="0" t="s">
        <v>2757</v>
      </c>
      <c r="N18" s="0" t="s">
        <v>2602</v>
      </c>
    </row>
    <row r="19" customFormat="false" ht="14.4" hidden="false" customHeight="false" outlineLevel="0" collapsed="false">
      <c r="A19" s="0" t="s">
        <v>2786</v>
      </c>
      <c r="B19" s="0" t="s">
        <v>74</v>
      </c>
      <c r="C19" s="0" t="n">
        <v>25</v>
      </c>
      <c r="D19" s="0" t="n">
        <v>0</v>
      </c>
      <c r="E19" s="0" t="n">
        <v>17</v>
      </c>
      <c r="F19" s="0" t="n">
        <v>1.25</v>
      </c>
      <c r="G19" s="0" t="n">
        <v>3</v>
      </c>
      <c r="H19" s="0" t="n">
        <v>0.24</v>
      </c>
      <c r="I19" s="0" t="n">
        <v>1.2</v>
      </c>
      <c r="J19" s="0" t="n">
        <v>65</v>
      </c>
      <c r="K19" s="0" t="s">
        <v>2767</v>
      </c>
      <c r="L19" s="0" t="s">
        <v>2756</v>
      </c>
      <c r="M19" s="0" t="s">
        <v>2757</v>
      </c>
      <c r="N19" s="0" t="s">
        <v>2612</v>
      </c>
    </row>
    <row r="20" customFormat="false" ht="14.4" hidden="false" customHeight="false" outlineLevel="0" collapsed="false">
      <c r="A20" s="0" t="s">
        <v>2787</v>
      </c>
      <c r="B20" s="0" t="s">
        <v>74</v>
      </c>
      <c r="C20" s="0" t="n">
        <v>35</v>
      </c>
      <c r="D20" s="0" t="n">
        <v>0</v>
      </c>
      <c r="E20" s="0" t="n">
        <v>15</v>
      </c>
      <c r="F20" s="0" t="n">
        <v>1.25</v>
      </c>
      <c r="G20" s="0" t="n">
        <v>6</v>
      </c>
      <c r="H20" s="0" t="n">
        <v>0.16</v>
      </c>
      <c r="I20" s="0" t="n">
        <v>1.73</v>
      </c>
      <c r="J20" s="0" t="n">
        <v>65</v>
      </c>
      <c r="N20" s="0" t="s">
        <v>77</v>
      </c>
    </row>
    <row r="21" customFormat="false" ht="14.4" hidden="false" customHeight="false" outlineLevel="0" collapsed="false">
      <c r="A21" s="0" t="s">
        <v>2788</v>
      </c>
      <c r="B21" s="0" t="s">
        <v>74</v>
      </c>
      <c r="C21" s="0" t="n">
        <v>25</v>
      </c>
      <c r="D21" s="0" t="n">
        <v>20</v>
      </c>
      <c r="E21" s="0" t="n">
        <v>13</v>
      </c>
      <c r="F21" s="0" t="n">
        <v>1.25</v>
      </c>
      <c r="G21" s="0" t="n">
        <v>4</v>
      </c>
      <c r="H21" s="0" t="n">
        <v>0.1</v>
      </c>
      <c r="I21" s="0" t="n">
        <v>1.01</v>
      </c>
      <c r="N21" s="0" t="s">
        <v>2602</v>
      </c>
    </row>
    <row r="22" customFormat="false" ht="14.4" hidden="false" customHeight="false" outlineLevel="0" collapsed="false">
      <c r="A22" s="0" t="s">
        <v>2789</v>
      </c>
      <c r="B22" s="0" t="s">
        <v>74</v>
      </c>
      <c r="C22" s="0" t="n">
        <v>20</v>
      </c>
      <c r="D22" s="0" t="n">
        <v>25</v>
      </c>
      <c r="E22" s="0" t="n">
        <v>17</v>
      </c>
      <c r="F22" s="0" t="n">
        <v>1.25</v>
      </c>
      <c r="G22" s="0" t="n">
        <v>4</v>
      </c>
      <c r="H22" s="0" t="n">
        <v>0.1</v>
      </c>
      <c r="I22" s="0" t="n">
        <v>1.46</v>
      </c>
      <c r="J22" s="0" t="n">
        <v>60</v>
      </c>
      <c r="K22" s="0" t="s">
        <v>2773</v>
      </c>
      <c r="N22" s="0" t="s">
        <v>2602</v>
      </c>
    </row>
    <row r="23" customFormat="false" ht="14.4" hidden="false" customHeight="false" outlineLevel="0" collapsed="false">
      <c r="A23" s="0" t="s">
        <v>2790</v>
      </c>
      <c r="B23" s="0" t="s">
        <v>74</v>
      </c>
      <c r="C23" s="0" t="n">
        <v>30</v>
      </c>
      <c r="D23" s="0" t="n">
        <v>15</v>
      </c>
      <c r="E23" s="0" t="n">
        <v>16</v>
      </c>
      <c r="F23" s="0" t="n">
        <v>1.2</v>
      </c>
      <c r="G23" s="0" t="n">
        <v>4</v>
      </c>
      <c r="H23" s="0" t="n">
        <v>0.1</v>
      </c>
      <c r="I23" s="0" t="n">
        <v>1.5</v>
      </c>
      <c r="J23" s="0" t="n">
        <v>60</v>
      </c>
      <c r="K23" s="0" t="s">
        <v>2773</v>
      </c>
      <c r="N23" s="0" t="s">
        <v>2611</v>
      </c>
    </row>
    <row r="24" customFormat="false" ht="14.4" hidden="false" customHeight="false" outlineLevel="0" collapsed="false">
      <c r="U24" s="195" t="s">
        <v>96</v>
      </c>
    </row>
    <row r="25" customFormat="false" ht="14.4" hidden="false" customHeight="false" outlineLevel="0" collapsed="false">
      <c r="A25" s="144" t="s">
        <v>97</v>
      </c>
      <c r="B25" s="144" t="s">
        <v>96</v>
      </c>
      <c r="C25" s="144" t="s">
        <v>98</v>
      </c>
      <c r="D25" s="144" t="s">
        <v>50</v>
      </c>
      <c r="E25" s="144" t="s">
        <v>173</v>
      </c>
      <c r="F25" s="144" t="s">
        <v>151</v>
      </c>
      <c r="G25" s="144" t="s">
        <v>179</v>
      </c>
      <c r="H25" s="144" t="s">
        <v>154</v>
      </c>
      <c r="I25" s="144" t="s">
        <v>184</v>
      </c>
      <c r="J25" s="144" t="s">
        <v>2749</v>
      </c>
      <c r="K25" s="144" t="s">
        <v>2750</v>
      </c>
      <c r="L25" s="144" t="s">
        <v>2751</v>
      </c>
      <c r="M25" s="144" t="s">
        <v>2752</v>
      </c>
      <c r="N25" s="144" t="s">
        <v>141</v>
      </c>
      <c r="U25" s="0" t="s">
        <v>2791</v>
      </c>
    </row>
    <row r="26" customFormat="false" ht="14.4" hidden="false" customHeight="false" outlineLevel="0" collapsed="false">
      <c r="A26" s="0" t="s">
        <v>2792</v>
      </c>
      <c r="B26" s="0" t="s">
        <v>121</v>
      </c>
      <c r="C26" s="0" t="n">
        <v>12</v>
      </c>
      <c r="D26" s="0" t="n">
        <v>0</v>
      </c>
      <c r="E26" s="0" t="n">
        <v>13</v>
      </c>
      <c r="F26" s="0" t="n">
        <v>1.25</v>
      </c>
      <c r="G26" s="0" t="n">
        <v>3</v>
      </c>
      <c r="H26" s="0" t="n">
        <v>0.3</v>
      </c>
      <c r="I26" s="0" t="n">
        <v>4.73</v>
      </c>
      <c r="J26" s="0" t="n">
        <v>50</v>
      </c>
      <c r="K26" s="0" t="s">
        <v>2793</v>
      </c>
      <c r="L26" s="0" t="s">
        <v>2756</v>
      </c>
      <c r="M26" s="0" t="s">
        <v>2757</v>
      </c>
      <c r="N26" s="0" t="s">
        <v>2602</v>
      </c>
      <c r="U26" s="0" t="s">
        <v>217</v>
      </c>
    </row>
    <row r="27" customFormat="false" ht="14.4" hidden="false" customHeight="false" outlineLevel="0" collapsed="false">
      <c r="A27" s="0" t="s">
        <v>2794</v>
      </c>
      <c r="B27" s="0" t="s">
        <v>121</v>
      </c>
      <c r="C27" s="0" t="n">
        <v>25</v>
      </c>
      <c r="D27" s="0" t="n">
        <v>0</v>
      </c>
      <c r="E27" s="0" t="n">
        <v>21</v>
      </c>
      <c r="F27" s="0" t="n">
        <v>1.1</v>
      </c>
      <c r="G27" s="0" t="n">
        <v>1</v>
      </c>
      <c r="H27" s="0" t="n">
        <v>0</v>
      </c>
      <c r="I27" s="0" t="n">
        <v>1.38</v>
      </c>
      <c r="J27" s="0" t="n">
        <v>50</v>
      </c>
      <c r="K27" s="0" t="s">
        <v>2762</v>
      </c>
      <c r="L27" s="0" t="s">
        <v>2756</v>
      </c>
      <c r="M27" s="0" t="s">
        <v>2757</v>
      </c>
      <c r="N27" s="0" t="s">
        <v>2611</v>
      </c>
    </row>
    <row r="28" customFormat="false" ht="14.4" hidden="false" customHeight="false" outlineLevel="0" collapsed="false">
      <c r="A28" s="0" t="s">
        <v>2795</v>
      </c>
      <c r="B28" s="0" t="s">
        <v>121</v>
      </c>
      <c r="C28" s="0" t="n">
        <v>12</v>
      </c>
      <c r="D28" s="0" t="n">
        <v>0</v>
      </c>
      <c r="E28" s="0" t="n">
        <v>16</v>
      </c>
      <c r="F28" s="0" t="n">
        <v>1.1</v>
      </c>
      <c r="G28" s="0" t="n">
        <v>3</v>
      </c>
      <c r="H28" s="0" t="n">
        <v>0</v>
      </c>
      <c r="I28" s="0" t="n">
        <v>3.35</v>
      </c>
      <c r="J28" s="0" t="n">
        <v>50</v>
      </c>
      <c r="K28" s="0" t="s">
        <v>2767</v>
      </c>
      <c r="L28" s="0" t="s">
        <v>2796</v>
      </c>
      <c r="M28" s="0" t="s">
        <v>2757</v>
      </c>
      <c r="N28" s="0" t="s">
        <v>2611</v>
      </c>
      <c r="U28" s="144" t="s">
        <v>96</v>
      </c>
    </row>
    <row r="29" customFormat="false" ht="14.4" hidden="false" customHeight="false" outlineLevel="0" collapsed="false">
      <c r="A29" s="0" t="s">
        <v>2797</v>
      </c>
      <c r="B29" s="0" t="s">
        <v>121</v>
      </c>
      <c r="C29" s="0" t="n">
        <v>12</v>
      </c>
      <c r="D29" s="0" t="n">
        <v>0</v>
      </c>
      <c r="E29" s="0" t="n">
        <v>34</v>
      </c>
      <c r="F29" s="0" t="n">
        <v>1.1</v>
      </c>
      <c r="G29" s="0" t="n">
        <v>3</v>
      </c>
      <c r="H29" s="0" t="n">
        <v>0.4</v>
      </c>
      <c r="I29" s="0" t="n">
        <v>2.43</v>
      </c>
      <c r="J29" s="0" t="n">
        <v>55</v>
      </c>
      <c r="K29" s="0" t="s">
        <v>2798</v>
      </c>
      <c r="L29" s="0" t="s">
        <v>2796</v>
      </c>
      <c r="M29" s="0" t="s">
        <v>2757</v>
      </c>
      <c r="N29" s="0" t="s">
        <v>2602</v>
      </c>
    </row>
    <row r="30" customFormat="false" ht="14.4" hidden="false" customHeight="false" outlineLevel="0" collapsed="false">
      <c r="A30" s="0" t="s">
        <v>2799</v>
      </c>
      <c r="B30" s="0" t="s">
        <v>121</v>
      </c>
      <c r="C30" s="0" t="n">
        <v>25</v>
      </c>
      <c r="D30" s="0" t="n">
        <v>0</v>
      </c>
      <c r="E30" s="0" t="n">
        <v>17</v>
      </c>
      <c r="F30" s="0" t="n">
        <v>1.1</v>
      </c>
      <c r="G30" s="0" t="n">
        <v>4</v>
      </c>
      <c r="H30" s="0" t="n">
        <v>0</v>
      </c>
      <c r="I30" s="0" t="n">
        <v>3.08</v>
      </c>
      <c r="J30" s="0" t="n">
        <v>60</v>
      </c>
      <c r="K30" s="0" t="s">
        <v>2800</v>
      </c>
      <c r="L30" s="0" t="s">
        <v>2796</v>
      </c>
      <c r="M30" s="0" t="s">
        <v>2801</v>
      </c>
      <c r="N30" s="0" t="s">
        <v>2765</v>
      </c>
      <c r="U30" s="0" t="s">
        <v>138</v>
      </c>
    </row>
    <row r="31" customFormat="false" ht="14.4" hidden="false" customHeight="false" outlineLevel="0" collapsed="false">
      <c r="A31" s="0" t="s">
        <v>2802</v>
      </c>
      <c r="B31" s="0" t="s">
        <v>121</v>
      </c>
      <c r="C31" s="0" t="n">
        <v>25</v>
      </c>
      <c r="D31" s="0" t="n">
        <v>0</v>
      </c>
      <c r="E31" s="0" t="n">
        <v>21</v>
      </c>
      <c r="F31" s="0" t="n">
        <v>1.05</v>
      </c>
      <c r="G31" s="0" t="n">
        <v>4</v>
      </c>
      <c r="H31" s="0" t="n">
        <v>0.1</v>
      </c>
      <c r="I31" s="0" t="n">
        <v>3</v>
      </c>
      <c r="J31" s="0" t="n">
        <v>50</v>
      </c>
      <c r="K31" s="0" t="s">
        <v>2781</v>
      </c>
      <c r="L31" s="0" t="s">
        <v>2796</v>
      </c>
      <c r="M31" s="0" t="s">
        <v>2757</v>
      </c>
      <c r="N31" s="0" t="s">
        <v>2611</v>
      </c>
      <c r="U31" s="0" t="s">
        <v>140</v>
      </c>
    </row>
    <row r="32" customFormat="false" ht="14.4" hidden="false" customHeight="false" outlineLevel="0" collapsed="false">
      <c r="A32" s="0" t="s">
        <v>2803</v>
      </c>
      <c r="B32" s="0" t="s">
        <v>121</v>
      </c>
      <c r="C32" s="0" t="n">
        <v>25</v>
      </c>
      <c r="D32" s="0" t="n">
        <v>0</v>
      </c>
      <c r="E32" s="0" t="n">
        <v>22</v>
      </c>
      <c r="F32" s="0" t="n">
        <v>1.1</v>
      </c>
      <c r="G32" s="0" t="n">
        <v>4</v>
      </c>
      <c r="H32" s="0" t="n">
        <v>0</v>
      </c>
      <c r="I32" s="0" t="n">
        <v>3.39</v>
      </c>
      <c r="J32" s="0" t="n">
        <v>50</v>
      </c>
      <c r="K32" s="0" t="s">
        <v>2800</v>
      </c>
      <c r="L32" s="0" t="s">
        <v>2796</v>
      </c>
      <c r="M32" s="0" t="s">
        <v>2757</v>
      </c>
      <c r="N32" s="0" t="s">
        <v>2611</v>
      </c>
      <c r="U32" s="0" t="s">
        <v>142</v>
      </c>
    </row>
    <row r="33" customFormat="false" ht="14.4" hidden="false" customHeight="false" outlineLevel="0" collapsed="false">
      <c r="A33" s="0" t="s">
        <v>2804</v>
      </c>
      <c r="B33" s="0" t="s">
        <v>121</v>
      </c>
      <c r="C33" s="0" t="n">
        <v>25</v>
      </c>
      <c r="D33" s="0" t="n">
        <v>0</v>
      </c>
      <c r="E33" s="0" t="n">
        <v>18</v>
      </c>
      <c r="F33" s="0" t="n">
        <v>1.1</v>
      </c>
      <c r="G33" s="0" t="n">
        <v>4</v>
      </c>
      <c r="H33" s="0" t="n">
        <v>0</v>
      </c>
      <c r="I33" s="0" t="n">
        <v>4.06</v>
      </c>
      <c r="J33" s="0" t="n">
        <v>50</v>
      </c>
      <c r="K33" s="0" t="s">
        <v>2800</v>
      </c>
      <c r="L33" s="0" t="s">
        <v>2796</v>
      </c>
      <c r="M33" s="0" t="s">
        <v>2757</v>
      </c>
      <c r="N33" s="0" t="s">
        <v>2612</v>
      </c>
    </row>
    <row r="34" customFormat="false" ht="14.4" hidden="false" customHeight="false" outlineLevel="0" collapsed="false">
      <c r="A34" s="0" t="s">
        <v>2805</v>
      </c>
      <c r="B34" s="0" t="s">
        <v>121</v>
      </c>
      <c r="C34" s="0" t="n">
        <v>12</v>
      </c>
      <c r="D34" s="0" t="n">
        <v>0</v>
      </c>
      <c r="E34" s="0" t="n">
        <v>15</v>
      </c>
      <c r="F34" s="0" t="n">
        <v>1.1</v>
      </c>
      <c r="G34" s="0" t="n">
        <v>4</v>
      </c>
      <c r="H34" s="0" t="n">
        <v>0</v>
      </c>
      <c r="I34" s="0" t="n">
        <v>2.8</v>
      </c>
      <c r="J34" s="0" t="n">
        <v>60</v>
      </c>
      <c r="K34" s="0" t="s">
        <v>2800</v>
      </c>
      <c r="L34" s="0" t="s">
        <v>2796</v>
      </c>
      <c r="M34" s="0" t="s">
        <v>2757</v>
      </c>
      <c r="N34" s="0" t="s">
        <v>2602</v>
      </c>
    </row>
    <row r="35" customFormat="false" ht="14.4" hidden="false" customHeight="false" outlineLevel="0" collapsed="false">
      <c r="A35" s="0" t="s">
        <v>2806</v>
      </c>
      <c r="B35" s="0" t="s">
        <v>121</v>
      </c>
      <c r="C35" s="0" t="n">
        <v>25</v>
      </c>
      <c r="D35" s="0" t="n">
        <v>0</v>
      </c>
      <c r="E35" s="0" t="n">
        <v>21</v>
      </c>
      <c r="F35" s="0" t="n">
        <v>1.05</v>
      </c>
      <c r="G35" s="0" t="n">
        <v>3</v>
      </c>
      <c r="H35" s="0" t="n">
        <v>0.3</v>
      </c>
      <c r="I35" s="0" t="n">
        <v>5.36</v>
      </c>
      <c r="J35" s="0" t="n">
        <v>50</v>
      </c>
      <c r="K35" s="0" t="s">
        <v>2793</v>
      </c>
      <c r="L35" s="0" t="s">
        <v>2796</v>
      </c>
      <c r="M35" s="0" t="s">
        <v>2757</v>
      </c>
      <c r="N35" s="0" t="s">
        <v>2611</v>
      </c>
    </row>
    <row r="36" customFormat="false" ht="14.4" hidden="false" customHeight="false" outlineLevel="0" collapsed="false">
      <c r="A36" s="0" t="s">
        <v>2807</v>
      </c>
      <c r="B36" s="0" t="s">
        <v>121</v>
      </c>
      <c r="C36" s="0" t="n">
        <v>45</v>
      </c>
      <c r="D36" s="0" t="n">
        <v>0</v>
      </c>
      <c r="E36" s="0" t="n">
        <v>24</v>
      </c>
      <c r="F36" s="0" t="n">
        <v>1.05</v>
      </c>
      <c r="G36" s="0" t="n">
        <v>3</v>
      </c>
      <c r="H36" s="0" t="n">
        <v>0</v>
      </c>
      <c r="I36" s="0" t="n">
        <v>2.86</v>
      </c>
      <c r="J36" s="0" t="n">
        <v>60</v>
      </c>
      <c r="K36" s="0" t="s">
        <v>2808</v>
      </c>
      <c r="L36" s="0" t="s">
        <v>2809</v>
      </c>
      <c r="M36" s="0" t="s">
        <v>2757</v>
      </c>
      <c r="N36" s="0" t="s">
        <v>2771</v>
      </c>
    </row>
    <row r="37" customFormat="false" ht="14.4" hidden="false" customHeight="false" outlineLevel="0" collapsed="false">
      <c r="A37" s="0" t="s">
        <v>2810</v>
      </c>
      <c r="B37" s="0" t="s">
        <v>121</v>
      </c>
      <c r="C37" s="0" t="n">
        <v>25</v>
      </c>
      <c r="D37" s="0" t="n">
        <v>0</v>
      </c>
      <c r="E37" s="0" t="n">
        <v>22</v>
      </c>
      <c r="F37" s="0" t="n">
        <v>1.05</v>
      </c>
      <c r="G37" s="0" t="n">
        <v>6</v>
      </c>
      <c r="H37" s="0" t="n">
        <v>0</v>
      </c>
      <c r="I37" s="0" t="n">
        <v>4.14</v>
      </c>
      <c r="J37" s="0" t="n">
        <v>50</v>
      </c>
      <c r="K37" s="0" t="s">
        <v>2811</v>
      </c>
      <c r="L37" s="0" t="s">
        <v>2796</v>
      </c>
      <c r="M37" s="0" t="s">
        <v>2757</v>
      </c>
      <c r="N37" s="0" t="s">
        <v>2611</v>
      </c>
    </row>
    <row r="38" customFormat="false" ht="14.4" hidden="false" customHeight="false" outlineLevel="0" collapsed="false">
      <c r="A38" s="0" t="s">
        <v>2812</v>
      </c>
      <c r="B38" s="0" t="s">
        <v>121</v>
      </c>
      <c r="C38" s="0" t="n">
        <v>25</v>
      </c>
      <c r="D38" s="0" t="n">
        <v>0</v>
      </c>
      <c r="E38" s="0" t="n">
        <v>19</v>
      </c>
      <c r="F38" s="0" t="n">
        <v>1.05</v>
      </c>
      <c r="G38" s="0" t="n">
        <v>6</v>
      </c>
      <c r="H38" s="0" t="n">
        <v>0</v>
      </c>
      <c r="I38" s="0" t="n">
        <v>4.59</v>
      </c>
      <c r="J38" s="0" t="n">
        <v>60</v>
      </c>
      <c r="K38" s="0" t="s">
        <v>2811</v>
      </c>
      <c r="L38" s="0" t="s">
        <v>2796</v>
      </c>
      <c r="M38" s="0" t="s">
        <v>2757</v>
      </c>
      <c r="N38" s="0" t="s">
        <v>2612</v>
      </c>
    </row>
    <row r="39" customFormat="false" ht="14.4" hidden="false" customHeight="false" outlineLevel="0" collapsed="false">
      <c r="A39" s="0" t="s">
        <v>2813</v>
      </c>
      <c r="B39" s="0" t="s">
        <v>121</v>
      </c>
      <c r="C39" s="0" t="n">
        <v>30</v>
      </c>
      <c r="D39" s="0" t="n">
        <v>15</v>
      </c>
      <c r="E39" s="0" t="n">
        <v>15</v>
      </c>
      <c r="F39" s="0" t="n">
        <v>1.05</v>
      </c>
      <c r="G39" s="0" t="n">
        <v>6</v>
      </c>
      <c r="H39" s="0" t="n">
        <v>0.15</v>
      </c>
      <c r="I39" s="0" t="n">
        <v>3.27</v>
      </c>
      <c r="J39" s="0" t="n">
        <v>55</v>
      </c>
      <c r="K39" s="0" t="s">
        <v>2814</v>
      </c>
      <c r="L39" s="0" t="s">
        <v>58</v>
      </c>
      <c r="M39" s="0" t="s">
        <v>2757</v>
      </c>
      <c r="N39" s="0" t="s">
        <v>2768</v>
      </c>
    </row>
    <row r="40" customFormat="false" ht="14.4" hidden="false" customHeight="false" outlineLevel="0" collapsed="false">
      <c r="A40" s="0" t="s">
        <v>137</v>
      </c>
      <c r="B40" s="0" t="s">
        <v>121</v>
      </c>
      <c r="C40" s="0" t="n">
        <v>45</v>
      </c>
      <c r="D40" s="0" t="n">
        <v>0</v>
      </c>
      <c r="E40" s="0" t="n">
        <v>18</v>
      </c>
      <c r="F40" s="0" t="n">
        <v>1.05</v>
      </c>
      <c r="G40" s="0" t="n">
        <v>6</v>
      </c>
      <c r="H40" s="0" t="n">
        <v>0.15</v>
      </c>
      <c r="I40" s="0" t="n">
        <v>4.12</v>
      </c>
      <c r="J40" s="0" t="n">
        <v>50</v>
      </c>
      <c r="K40" s="0" t="s">
        <v>2815</v>
      </c>
      <c r="L40" s="0" t="s">
        <v>2796</v>
      </c>
      <c r="M40" s="0" t="s">
        <v>2757</v>
      </c>
      <c r="N40" s="0" t="s">
        <v>2765</v>
      </c>
    </row>
    <row r="41" customFormat="false" ht="14.4" hidden="false" customHeight="false" outlineLevel="0" collapsed="false">
      <c r="A41" s="0" t="s">
        <v>2816</v>
      </c>
      <c r="B41" s="0" t="s">
        <v>121</v>
      </c>
      <c r="C41" s="0" t="n">
        <v>45</v>
      </c>
      <c r="D41" s="0" t="n">
        <v>0</v>
      </c>
      <c r="E41" s="0" t="n">
        <v>16</v>
      </c>
      <c r="F41" s="0" t="n">
        <v>1.05</v>
      </c>
      <c r="G41" s="0" t="n">
        <v>6</v>
      </c>
      <c r="H41" s="0" t="n">
        <v>0.15</v>
      </c>
      <c r="I41" s="0" t="n">
        <v>3.56</v>
      </c>
      <c r="J41" s="0" t="n">
        <v>68</v>
      </c>
      <c r="N41" s="0" t="s">
        <v>2765</v>
      </c>
    </row>
    <row r="42" customFormat="false" ht="14.4" hidden="false" customHeight="false" outlineLevel="0" collapsed="false">
      <c r="A42" s="0" t="s">
        <v>2817</v>
      </c>
      <c r="B42" s="0" t="s">
        <v>121</v>
      </c>
      <c r="C42" s="0" t="n">
        <v>45</v>
      </c>
      <c r="D42" s="0" t="n">
        <v>0</v>
      </c>
      <c r="E42" s="0" t="n">
        <v>20</v>
      </c>
      <c r="F42" s="0" t="n">
        <v>1.05</v>
      </c>
      <c r="G42" s="0" t="n">
        <v>6</v>
      </c>
      <c r="H42" s="0" t="n">
        <v>0.15</v>
      </c>
      <c r="I42" s="0" t="n">
        <v>4.58</v>
      </c>
      <c r="N42" s="0" t="s">
        <v>2765</v>
      </c>
    </row>
    <row r="44" customFormat="false" ht="14.4" hidden="false" customHeight="false" outlineLevel="0" collapsed="false">
      <c r="A44" s="144" t="s">
        <v>97</v>
      </c>
      <c r="B44" s="144" t="s">
        <v>96</v>
      </c>
      <c r="C44" s="144" t="s">
        <v>98</v>
      </c>
      <c r="D44" s="144" t="s">
        <v>50</v>
      </c>
      <c r="E44" s="144" t="s">
        <v>173</v>
      </c>
      <c r="F44" s="144" t="s">
        <v>151</v>
      </c>
      <c r="G44" s="144" t="s">
        <v>179</v>
      </c>
      <c r="H44" s="144" t="s">
        <v>154</v>
      </c>
      <c r="I44" s="144" t="s">
        <v>184</v>
      </c>
      <c r="J44" s="144" t="s">
        <v>2749</v>
      </c>
      <c r="K44" s="144" t="s">
        <v>2750</v>
      </c>
      <c r="L44" s="144" t="s">
        <v>2751</v>
      </c>
      <c r="M44" s="144" t="s">
        <v>2752</v>
      </c>
      <c r="N44" s="144" t="s">
        <v>141</v>
      </c>
    </row>
    <row r="45" customFormat="false" ht="14.4" hidden="false" customHeight="false" outlineLevel="0" collapsed="false">
      <c r="A45" s="0" t="s">
        <v>2818</v>
      </c>
      <c r="B45" s="0" t="s">
        <v>394</v>
      </c>
      <c r="C45" s="0" t="n">
        <v>25</v>
      </c>
      <c r="D45" s="0" t="n">
        <v>0</v>
      </c>
      <c r="E45" s="0" t="n">
        <v>48</v>
      </c>
      <c r="F45" s="0" t="n">
        <v>1.1</v>
      </c>
      <c r="G45" s="0" t="n">
        <v>4</v>
      </c>
      <c r="H45" s="0" t="n">
        <v>0.5</v>
      </c>
      <c r="I45" s="0" t="n">
        <v>6.42</v>
      </c>
      <c r="J45" s="0" t="n">
        <v>55</v>
      </c>
      <c r="K45" s="0" t="s">
        <v>2762</v>
      </c>
      <c r="L45" s="0" t="s">
        <v>2798</v>
      </c>
      <c r="M45" s="0" t="s">
        <v>2757</v>
      </c>
      <c r="N45" s="0" t="s">
        <v>2611</v>
      </c>
    </row>
    <row r="46" customFormat="false" ht="14.4" hidden="false" customHeight="false" outlineLevel="0" collapsed="false">
      <c r="A46" s="0" t="s">
        <v>2819</v>
      </c>
      <c r="B46" s="0" t="s">
        <v>394</v>
      </c>
      <c r="C46" s="0" t="n">
        <v>25</v>
      </c>
      <c r="D46" s="0" t="n">
        <v>0</v>
      </c>
      <c r="E46" s="0" t="n">
        <v>46</v>
      </c>
      <c r="F46" s="0" t="n">
        <v>1.1</v>
      </c>
      <c r="G46" s="0" t="n">
        <v>4</v>
      </c>
      <c r="H46" s="0" t="n">
        <v>0.5</v>
      </c>
      <c r="I46" s="0" t="n">
        <v>6.17</v>
      </c>
      <c r="J46" s="0" t="n">
        <v>55</v>
      </c>
      <c r="K46" s="0" t="s">
        <v>2762</v>
      </c>
      <c r="L46" s="0" t="s">
        <v>2798</v>
      </c>
      <c r="M46" s="0" t="s">
        <v>2757</v>
      </c>
      <c r="N46" s="0" t="s">
        <v>2612</v>
      </c>
    </row>
    <row r="47" customFormat="false" ht="14.4" hidden="false" customHeight="false" outlineLevel="0" collapsed="false">
      <c r="A47" s="0" t="s">
        <v>2820</v>
      </c>
      <c r="B47" s="0" t="s">
        <v>394</v>
      </c>
      <c r="C47" s="0" t="n">
        <v>45</v>
      </c>
      <c r="D47" s="0" t="n">
        <v>0</v>
      </c>
      <c r="E47" s="0" t="n">
        <v>50</v>
      </c>
      <c r="F47" s="0" t="n">
        <v>1.1</v>
      </c>
      <c r="G47" s="0" t="n">
        <v>6</v>
      </c>
      <c r="H47" s="0" t="n">
        <v>1</v>
      </c>
      <c r="I47" s="0" t="n">
        <v>7.65</v>
      </c>
      <c r="J47" s="0" t="n">
        <v>55</v>
      </c>
      <c r="K47" s="0" t="s">
        <v>2762</v>
      </c>
      <c r="L47" s="0" t="s">
        <v>2798</v>
      </c>
      <c r="M47" s="0" t="s">
        <v>2757</v>
      </c>
      <c r="N47" s="0" t="s">
        <v>2611</v>
      </c>
    </row>
    <row r="48" customFormat="false" ht="14.4" hidden="false" customHeight="false" outlineLevel="0" collapsed="false">
      <c r="A48" s="0" t="s">
        <v>2821</v>
      </c>
      <c r="B48" s="0" t="s">
        <v>325</v>
      </c>
      <c r="C48" s="0" t="n">
        <v>12</v>
      </c>
      <c r="D48" s="0" t="n">
        <v>0</v>
      </c>
      <c r="E48" s="0" t="n">
        <v>34</v>
      </c>
      <c r="F48" s="0" t="n">
        <v>1.05</v>
      </c>
      <c r="G48" s="0" t="n">
        <v>4</v>
      </c>
      <c r="H48" s="0" t="n">
        <v>0.5</v>
      </c>
      <c r="I48" s="0" t="n">
        <v>3.06</v>
      </c>
      <c r="J48" s="0" t="n">
        <v>80</v>
      </c>
      <c r="K48" s="0" t="s">
        <v>2783</v>
      </c>
      <c r="L48" s="0" t="s">
        <v>2798</v>
      </c>
      <c r="M48" s="0" t="s">
        <v>2757</v>
      </c>
      <c r="N48" s="0" t="s">
        <v>2602</v>
      </c>
    </row>
    <row r="49" customFormat="false" ht="14.4" hidden="false" customHeight="false" outlineLevel="0" collapsed="false">
      <c r="A49" s="0" t="s">
        <v>2822</v>
      </c>
      <c r="B49" s="0" t="s">
        <v>394</v>
      </c>
      <c r="C49" s="0" t="n">
        <v>45</v>
      </c>
      <c r="D49" s="0" t="n">
        <v>0</v>
      </c>
      <c r="E49" s="0" t="n">
        <v>48</v>
      </c>
      <c r="F49" s="0" t="n">
        <v>1.1</v>
      </c>
      <c r="G49" s="0" t="n">
        <v>4</v>
      </c>
      <c r="H49" s="0" t="n">
        <v>0.5</v>
      </c>
      <c r="I49" s="0" t="n">
        <v>5.92</v>
      </c>
      <c r="J49" s="0" t="n">
        <v>55</v>
      </c>
      <c r="K49" s="0" t="s">
        <v>2762</v>
      </c>
      <c r="L49" s="0" t="s">
        <v>2798</v>
      </c>
      <c r="M49" s="0" t="s">
        <v>2757</v>
      </c>
      <c r="N49" s="0" t="s">
        <v>2612</v>
      </c>
    </row>
    <row r="50" customFormat="false" ht="14.4" hidden="false" customHeight="false" outlineLevel="0" collapsed="false">
      <c r="A50" s="0" t="s">
        <v>2823</v>
      </c>
      <c r="B50" s="0" t="s">
        <v>394</v>
      </c>
      <c r="C50" s="0" t="n">
        <v>45</v>
      </c>
      <c r="D50" s="0" t="n">
        <v>0</v>
      </c>
      <c r="E50" s="0" t="n">
        <v>56</v>
      </c>
      <c r="F50" s="0" t="n">
        <v>1.1</v>
      </c>
      <c r="G50" s="0" t="n">
        <v>6</v>
      </c>
      <c r="H50" s="0" t="n">
        <v>0.5</v>
      </c>
      <c r="I50" s="0" t="n">
        <v>10.71</v>
      </c>
      <c r="J50" s="0" t="n">
        <v>65</v>
      </c>
      <c r="K50" s="0" t="s">
        <v>2824</v>
      </c>
      <c r="L50" s="0" t="s">
        <v>58</v>
      </c>
      <c r="M50" s="0" t="s">
        <v>2757</v>
      </c>
      <c r="N50" s="0" t="s">
        <v>2765</v>
      </c>
    </row>
    <row r="51" customFormat="false" ht="14.4" hidden="false" customHeight="false" outlineLevel="0" collapsed="false">
      <c r="A51" s="0" t="s">
        <v>2825</v>
      </c>
      <c r="B51" s="0" t="s">
        <v>394</v>
      </c>
      <c r="C51" s="0" t="n">
        <v>25</v>
      </c>
      <c r="D51" s="0" t="n">
        <v>0</v>
      </c>
      <c r="E51" s="0" t="n">
        <v>52</v>
      </c>
      <c r="F51" s="0" t="n">
        <v>1.05</v>
      </c>
      <c r="G51" s="0" t="n">
        <v>3</v>
      </c>
      <c r="H51" s="0" t="n">
        <v>0</v>
      </c>
      <c r="I51" s="0" t="n">
        <v>5.59</v>
      </c>
      <c r="J51" s="0" t="n">
        <v>60</v>
      </c>
      <c r="K51" s="0" t="s">
        <v>2826</v>
      </c>
      <c r="L51" s="0" t="s">
        <v>2798</v>
      </c>
      <c r="M51" s="0" t="s">
        <v>2757</v>
      </c>
      <c r="N51" s="0" t="s">
        <v>2612</v>
      </c>
    </row>
    <row r="52" customFormat="false" ht="14.4" hidden="false" customHeight="false" outlineLevel="0" collapsed="false">
      <c r="A52" s="0" t="s">
        <v>2827</v>
      </c>
      <c r="B52" s="0" t="s">
        <v>394</v>
      </c>
      <c r="C52" s="0" t="n">
        <v>12</v>
      </c>
      <c r="D52" s="0" t="n">
        <v>0</v>
      </c>
      <c r="E52" s="0" t="n">
        <v>39</v>
      </c>
      <c r="F52" s="0" t="n">
        <v>1.05</v>
      </c>
      <c r="G52" s="0" t="n">
        <v>3</v>
      </c>
      <c r="H52" s="0" t="n">
        <v>0</v>
      </c>
      <c r="I52" s="0" t="n">
        <v>6.48</v>
      </c>
      <c r="J52" s="0" t="n">
        <v>60</v>
      </c>
      <c r="K52" s="0" t="s">
        <v>2826</v>
      </c>
      <c r="L52" s="0" t="s">
        <v>2798</v>
      </c>
      <c r="M52" s="0" t="s">
        <v>2757</v>
      </c>
      <c r="N52" s="0" t="s">
        <v>2612</v>
      </c>
    </row>
    <row r="53" customFormat="false" ht="14.4" hidden="false" customHeight="false" outlineLevel="0" collapsed="false">
      <c r="A53" s="0" t="s">
        <v>2828</v>
      </c>
      <c r="B53" s="0" t="s">
        <v>394</v>
      </c>
      <c r="C53" s="0" t="n">
        <v>45</v>
      </c>
      <c r="D53" s="0" t="n">
        <v>0</v>
      </c>
      <c r="E53" s="0" t="n">
        <v>50</v>
      </c>
      <c r="F53" s="0" t="n">
        <v>1.05</v>
      </c>
      <c r="G53" s="0" t="n">
        <v>6</v>
      </c>
      <c r="H53" s="0" t="n">
        <v>0.5</v>
      </c>
      <c r="I53" s="0" t="n">
        <v>7.32</v>
      </c>
      <c r="J53" s="0" t="n">
        <v>55</v>
      </c>
      <c r="K53" s="0" t="s">
        <v>2829</v>
      </c>
      <c r="L53" s="0" t="s">
        <v>2830</v>
      </c>
      <c r="M53" s="0" t="s">
        <v>2757</v>
      </c>
      <c r="N53" s="0" t="s">
        <v>2611</v>
      </c>
    </row>
    <row r="54" customFormat="false" ht="14.4" hidden="false" customHeight="false" outlineLevel="0" collapsed="false">
      <c r="A54" s="0" t="s">
        <v>2831</v>
      </c>
      <c r="B54" s="0" t="s">
        <v>394</v>
      </c>
      <c r="C54" s="0" t="n">
        <v>45</v>
      </c>
      <c r="D54" s="0" t="n">
        <v>0</v>
      </c>
      <c r="E54" s="0" t="n">
        <v>52</v>
      </c>
      <c r="F54" s="0" t="n">
        <v>1.3</v>
      </c>
      <c r="G54" s="0" t="n">
        <v>3</v>
      </c>
      <c r="H54" s="0" t="n">
        <v>0.4</v>
      </c>
      <c r="I54" s="0" t="n">
        <v>5.39</v>
      </c>
      <c r="J54" s="0" t="n">
        <v>60</v>
      </c>
      <c r="K54" s="0" t="s">
        <v>2764</v>
      </c>
      <c r="L54" s="0" t="s">
        <v>2830</v>
      </c>
      <c r="M54" s="0" t="s">
        <v>2757</v>
      </c>
      <c r="N54" s="0" t="s">
        <v>2612</v>
      </c>
    </row>
    <row r="55" customFormat="false" ht="14.4" hidden="false" customHeight="false" outlineLevel="0" collapsed="false">
      <c r="A55" s="0" t="s">
        <v>2832</v>
      </c>
      <c r="B55" s="0" t="s">
        <v>394</v>
      </c>
      <c r="C55" s="0" t="n">
        <v>25</v>
      </c>
      <c r="D55" s="0" t="n">
        <v>0</v>
      </c>
      <c r="E55" s="0" t="n">
        <v>55</v>
      </c>
      <c r="F55" s="0" t="n">
        <v>1.1</v>
      </c>
      <c r="G55" s="0" t="n">
        <v>6</v>
      </c>
      <c r="H55" s="0" t="n">
        <v>0.5</v>
      </c>
      <c r="I55" s="0" t="n">
        <v>8.98</v>
      </c>
      <c r="J55" s="0" t="n">
        <v>60</v>
      </c>
      <c r="K55" s="0" t="s">
        <v>2793</v>
      </c>
      <c r="L55" s="0" t="s">
        <v>2798</v>
      </c>
      <c r="M55" s="0" t="s">
        <v>2757</v>
      </c>
      <c r="N55" s="0" t="s">
        <v>2611</v>
      </c>
    </row>
    <row r="56" customFormat="false" ht="14.4" hidden="false" customHeight="false" outlineLevel="0" collapsed="false">
      <c r="A56" s="0" t="s">
        <v>2833</v>
      </c>
      <c r="B56" s="0" t="s">
        <v>394</v>
      </c>
      <c r="C56" s="0" t="n">
        <v>45</v>
      </c>
      <c r="D56" s="0" t="n">
        <v>0</v>
      </c>
      <c r="E56" s="0" t="n">
        <v>42</v>
      </c>
      <c r="F56" s="0" t="n">
        <v>1.1</v>
      </c>
      <c r="G56" s="0" t="n">
        <v>8</v>
      </c>
      <c r="H56" s="0" t="n">
        <v>1.2</v>
      </c>
      <c r="I56" s="0" t="n">
        <v>8.58</v>
      </c>
      <c r="J56" s="0" t="n">
        <v>70</v>
      </c>
      <c r="K56" s="0" t="s">
        <v>2814</v>
      </c>
      <c r="L56" s="0" t="s">
        <v>58</v>
      </c>
      <c r="M56" s="0" t="s">
        <v>2757</v>
      </c>
      <c r="N56" s="0" t="s">
        <v>2731</v>
      </c>
    </row>
    <row r="57" customFormat="false" ht="14.4" hidden="false" customHeight="false" outlineLevel="0" collapsed="false">
      <c r="A57" s="0" t="s">
        <v>2834</v>
      </c>
      <c r="B57" s="0" t="s">
        <v>394</v>
      </c>
      <c r="C57" s="0" t="n">
        <v>45</v>
      </c>
      <c r="D57" s="0" t="n">
        <v>0</v>
      </c>
      <c r="E57" s="0" t="n">
        <v>54</v>
      </c>
      <c r="F57" s="0" t="n">
        <v>1.1</v>
      </c>
      <c r="G57" s="0" t="n">
        <v>4</v>
      </c>
      <c r="H57" s="0" t="n">
        <v>0.5</v>
      </c>
      <c r="I57" s="0" t="n">
        <v>6.13</v>
      </c>
      <c r="J57" s="0" t="n">
        <v>70</v>
      </c>
      <c r="N57" s="0" t="s">
        <v>2612</v>
      </c>
    </row>
    <row r="58" customFormat="false" ht="14.4" hidden="false" customHeight="false" outlineLevel="0" collapsed="false">
      <c r="A58" s="0" t="s">
        <v>2835</v>
      </c>
      <c r="B58" s="0" t="s">
        <v>394</v>
      </c>
      <c r="C58" s="0" t="n">
        <v>65</v>
      </c>
      <c r="D58" s="0" t="n">
        <v>0</v>
      </c>
      <c r="E58" s="0" t="n">
        <v>54</v>
      </c>
      <c r="F58" s="0" t="n">
        <v>1.15</v>
      </c>
      <c r="G58" s="0" t="n">
        <v>6</v>
      </c>
      <c r="H58" s="0" t="n">
        <v>0.6</v>
      </c>
      <c r="I58" s="0" t="n">
        <v>7.84</v>
      </c>
      <c r="N58" s="0" t="s">
        <v>77</v>
      </c>
    </row>
    <row r="59" customFormat="false" ht="14.4" hidden="false" customHeight="false" outlineLevel="0" collapsed="false">
      <c r="A59" s="0" t="s">
        <v>2836</v>
      </c>
      <c r="B59" s="0" t="s">
        <v>394</v>
      </c>
      <c r="C59" s="0" t="n">
        <v>45</v>
      </c>
      <c r="D59" s="0" t="n">
        <v>0</v>
      </c>
      <c r="E59" s="0" t="n">
        <v>54</v>
      </c>
      <c r="F59" s="0" t="n">
        <v>1.15</v>
      </c>
      <c r="G59" s="0" t="n">
        <v>4</v>
      </c>
      <c r="H59" s="0" t="n">
        <v>0.6</v>
      </c>
      <c r="I59" s="0" t="n">
        <v>6.17</v>
      </c>
      <c r="N59" s="0" t="s">
        <v>2758</v>
      </c>
    </row>
    <row r="60" customFormat="false" ht="14.4" hidden="false" customHeight="false" outlineLevel="0" collapsed="false">
      <c r="A60" s="0" t="s">
        <v>2837</v>
      </c>
      <c r="B60" s="0" t="s">
        <v>394</v>
      </c>
      <c r="C60" s="0" t="n">
        <v>45</v>
      </c>
      <c r="D60" s="0" t="n">
        <v>0</v>
      </c>
      <c r="E60" s="0" t="n">
        <v>49</v>
      </c>
      <c r="F60" s="0" t="n">
        <v>1</v>
      </c>
      <c r="G60" s="0" t="n">
        <v>6</v>
      </c>
      <c r="H60" s="0" t="n">
        <v>0.5</v>
      </c>
      <c r="I60" s="0" t="n">
        <v>7.91</v>
      </c>
      <c r="N60" s="0" t="s">
        <v>2612</v>
      </c>
    </row>
    <row r="61" customFormat="false" ht="14.4" hidden="false" customHeight="false" outlineLevel="0" collapsed="false">
      <c r="A61" s="0" t="s">
        <v>2838</v>
      </c>
      <c r="B61" s="0" t="s">
        <v>394</v>
      </c>
      <c r="C61" s="0" t="n">
        <v>45</v>
      </c>
      <c r="D61" s="0" t="n">
        <v>0</v>
      </c>
      <c r="E61" s="0" t="n">
        <v>51</v>
      </c>
      <c r="F61" s="0" t="n">
        <v>1.05</v>
      </c>
      <c r="G61" s="0" t="n">
        <v>6</v>
      </c>
      <c r="H61" s="0" t="n">
        <v>0.5</v>
      </c>
      <c r="I61" s="0" t="n">
        <v>7.62</v>
      </c>
      <c r="N61" s="0" t="s">
        <v>2771</v>
      </c>
    </row>
    <row r="63" customFormat="false" ht="14.4" hidden="false" customHeight="false" outlineLevel="0" collapsed="false">
      <c r="A63" s="144" t="s">
        <v>97</v>
      </c>
      <c r="B63" s="144" t="s">
        <v>96</v>
      </c>
      <c r="C63" s="144" t="s">
        <v>98</v>
      </c>
      <c r="D63" s="144" t="s">
        <v>50</v>
      </c>
      <c r="E63" s="144" t="s">
        <v>173</v>
      </c>
      <c r="F63" s="144" t="s">
        <v>151</v>
      </c>
      <c r="G63" s="144" t="s">
        <v>179</v>
      </c>
      <c r="H63" s="144" t="s">
        <v>154</v>
      </c>
      <c r="I63" s="144" t="s">
        <v>184</v>
      </c>
      <c r="J63" s="144" t="s">
        <v>2749</v>
      </c>
      <c r="K63" s="144" t="s">
        <v>2750</v>
      </c>
      <c r="L63" s="144" t="s">
        <v>2751</v>
      </c>
      <c r="M63" s="144" t="s">
        <v>2752</v>
      </c>
      <c r="N63" s="144" t="s">
        <v>141</v>
      </c>
    </row>
    <row r="64" customFormat="false" ht="14.4" hidden="false" customHeight="false" outlineLevel="0" collapsed="false">
      <c r="A64" s="0" t="s">
        <v>2839</v>
      </c>
      <c r="B64" s="0" t="s">
        <v>114</v>
      </c>
      <c r="C64" s="0" t="n">
        <v>12</v>
      </c>
      <c r="D64" s="0" t="n">
        <v>0</v>
      </c>
      <c r="E64" s="0" t="n">
        <v>74</v>
      </c>
      <c r="F64" s="0" t="n">
        <v>1</v>
      </c>
      <c r="G64" s="0" t="n">
        <v>2</v>
      </c>
      <c r="H64" s="0" t="n">
        <v>0</v>
      </c>
      <c r="I64" s="0" t="n">
        <v>17.42</v>
      </c>
      <c r="J64" s="0" t="n">
        <v>200</v>
      </c>
      <c r="K64" s="0" t="s">
        <v>2781</v>
      </c>
      <c r="L64" s="0" t="s">
        <v>2840</v>
      </c>
      <c r="M64" s="0" t="s">
        <v>2841</v>
      </c>
      <c r="N64" s="0" t="s">
        <v>2602</v>
      </c>
    </row>
    <row r="65" customFormat="false" ht="14.4" hidden="false" customHeight="false" outlineLevel="0" collapsed="false">
      <c r="A65" s="0" t="s">
        <v>2842</v>
      </c>
      <c r="B65" s="0" t="s">
        <v>114</v>
      </c>
      <c r="C65" s="0" t="n">
        <v>12</v>
      </c>
      <c r="D65" s="0" t="n">
        <v>0</v>
      </c>
      <c r="E65" s="0" t="n">
        <v>88</v>
      </c>
      <c r="F65" s="0" t="n">
        <v>1.1</v>
      </c>
      <c r="G65" s="0" t="n">
        <v>2</v>
      </c>
      <c r="H65" s="0" t="n">
        <v>0</v>
      </c>
      <c r="I65" s="0" t="n">
        <v>19.27</v>
      </c>
      <c r="J65" s="0" t="n">
        <v>200</v>
      </c>
      <c r="K65" s="0" t="s">
        <v>2781</v>
      </c>
      <c r="L65" s="0" t="s">
        <v>2840</v>
      </c>
      <c r="M65" s="0" t="s">
        <v>2841</v>
      </c>
      <c r="N65" s="0" t="s">
        <v>2612</v>
      </c>
    </row>
    <row r="66" customFormat="false" ht="14.4" hidden="false" customHeight="false" outlineLevel="0" collapsed="false">
      <c r="A66" s="0" t="s">
        <v>2843</v>
      </c>
      <c r="B66" s="0" t="s">
        <v>114</v>
      </c>
      <c r="C66" s="0" t="n">
        <v>45</v>
      </c>
      <c r="D66" s="0" t="n">
        <v>0</v>
      </c>
      <c r="E66" s="0" t="n">
        <v>132</v>
      </c>
      <c r="F66" s="0" t="n">
        <v>1.1</v>
      </c>
      <c r="G66" s="0" t="n">
        <v>2</v>
      </c>
      <c r="H66" s="0" t="n">
        <v>0</v>
      </c>
      <c r="I66" s="0" t="n">
        <v>18.38</v>
      </c>
      <c r="J66" s="0" t="n">
        <v>200</v>
      </c>
      <c r="K66" s="0" t="s">
        <v>2781</v>
      </c>
      <c r="L66" s="0" t="s">
        <v>2840</v>
      </c>
      <c r="M66" s="0" t="s">
        <v>2841</v>
      </c>
      <c r="N66" s="0" t="s">
        <v>2611</v>
      </c>
    </row>
    <row r="67" customFormat="false" ht="14.4" hidden="false" customHeight="false" outlineLevel="0" collapsed="false">
      <c r="A67" s="0" t="s">
        <v>2844</v>
      </c>
      <c r="B67" s="0" t="s">
        <v>114</v>
      </c>
      <c r="C67" s="0" t="n">
        <v>25</v>
      </c>
      <c r="D67" s="0" t="n">
        <v>0</v>
      </c>
      <c r="E67" s="0" t="n">
        <v>128</v>
      </c>
      <c r="F67" s="0" t="n">
        <v>1.1</v>
      </c>
      <c r="G67" s="0" t="n">
        <v>2</v>
      </c>
      <c r="H67" s="0" t="n">
        <v>0</v>
      </c>
      <c r="I67" s="0" t="n">
        <v>18.72</v>
      </c>
      <c r="J67" s="0" t="n">
        <v>200</v>
      </c>
      <c r="K67" s="0" t="s">
        <v>2781</v>
      </c>
      <c r="L67" s="0" t="s">
        <v>2840</v>
      </c>
      <c r="M67" s="0" t="s">
        <v>2841</v>
      </c>
      <c r="N67" s="0" t="s">
        <v>2611</v>
      </c>
    </row>
    <row r="68" customFormat="false" ht="14.4" hidden="false" customHeight="false" outlineLevel="0" collapsed="false">
      <c r="A68" s="0" t="s">
        <v>2845</v>
      </c>
      <c r="B68" s="0" t="s">
        <v>114</v>
      </c>
      <c r="C68" s="0" t="n">
        <v>45</v>
      </c>
      <c r="D68" s="0" t="n">
        <v>0</v>
      </c>
      <c r="E68" s="0" t="n">
        <v>133</v>
      </c>
      <c r="F68" s="0" t="n">
        <v>1.1</v>
      </c>
      <c r="G68" s="0" t="n">
        <v>2</v>
      </c>
      <c r="H68" s="0" t="n">
        <v>0</v>
      </c>
      <c r="I68" s="0" t="n">
        <v>17.96</v>
      </c>
      <c r="J68" s="0" t="n">
        <v>200</v>
      </c>
      <c r="K68" s="0" t="s">
        <v>2829</v>
      </c>
      <c r="L68" s="0" t="s">
        <v>2840</v>
      </c>
      <c r="M68" s="0" t="s">
        <v>2841</v>
      </c>
      <c r="N68" s="0" t="s">
        <v>2612</v>
      </c>
    </row>
    <row r="69" customFormat="false" ht="14.4" hidden="false" customHeight="false" outlineLevel="0" collapsed="false">
      <c r="A69" s="0" t="s">
        <v>2846</v>
      </c>
      <c r="B69" s="0" t="s">
        <v>114</v>
      </c>
      <c r="C69" s="0" t="n">
        <v>25</v>
      </c>
      <c r="D69" s="0" t="n">
        <v>0</v>
      </c>
      <c r="E69" s="0" t="n">
        <v>154</v>
      </c>
      <c r="F69" s="0" t="n">
        <v>1.1</v>
      </c>
      <c r="G69" s="0" t="n">
        <v>2</v>
      </c>
      <c r="H69" s="0" t="n">
        <v>0</v>
      </c>
      <c r="I69" s="0" t="n">
        <v>21.15</v>
      </c>
      <c r="J69" s="0" t="n">
        <v>200</v>
      </c>
      <c r="K69" s="0" t="s">
        <v>2781</v>
      </c>
      <c r="L69" s="0" t="s">
        <v>2840</v>
      </c>
      <c r="M69" s="0" t="s">
        <v>2841</v>
      </c>
      <c r="N69" s="0" t="s">
        <v>2611</v>
      </c>
    </row>
    <row r="70" customFormat="false" ht="14.4" hidden="false" customHeight="false" outlineLevel="0" collapsed="false">
      <c r="A70" s="0" t="s">
        <v>2847</v>
      </c>
      <c r="B70" s="0" t="s">
        <v>114</v>
      </c>
      <c r="C70" s="0" t="n">
        <v>25</v>
      </c>
      <c r="D70" s="0" t="n">
        <v>25</v>
      </c>
      <c r="E70" s="0" t="n">
        <v>220</v>
      </c>
      <c r="F70" s="0" t="n">
        <v>1.1</v>
      </c>
      <c r="G70" s="0" t="n">
        <v>2</v>
      </c>
      <c r="H70" s="0" t="n">
        <v>0</v>
      </c>
      <c r="I70" s="0" t="n">
        <v>19.29</v>
      </c>
      <c r="J70" s="0" t="n">
        <v>200</v>
      </c>
      <c r="K70" s="0" t="s">
        <v>2781</v>
      </c>
      <c r="L70" s="0" t="s">
        <v>2840</v>
      </c>
      <c r="M70" s="0" t="s">
        <v>2841</v>
      </c>
      <c r="N70" s="0" t="s">
        <v>2686</v>
      </c>
    </row>
    <row r="71" customFormat="false" ht="14.4" hidden="false" customHeight="false" outlineLevel="0" collapsed="false">
      <c r="A71" s="0" t="s">
        <v>309</v>
      </c>
      <c r="B71" s="0" t="s">
        <v>114</v>
      </c>
      <c r="C71" s="0" t="n">
        <v>25</v>
      </c>
      <c r="D71" s="0" t="n">
        <v>0</v>
      </c>
      <c r="E71" s="0" t="n">
        <v>154</v>
      </c>
      <c r="F71" s="0" t="n">
        <v>1.1</v>
      </c>
      <c r="G71" s="0" t="n">
        <v>2</v>
      </c>
      <c r="H71" s="0" t="n">
        <v>0</v>
      </c>
      <c r="I71" s="0" t="n">
        <v>20.02</v>
      </c>
      <c r="J71" s="0" t="n">
        <v>200</v>
      </c>
      <c r="K71" s="0" t="s">
        <v>2781</v>
      </c>
      <c r="L71" s="0" t="s">
        <v>2840</v>
      </c>
      <c r="M71" s="0" t="s">
        <v>2841</v>
      </c>
      <c r="N71" s="0" t="s">
        <v>2612</v>
      </c>
    </row>
    <row r="72" customFormat="false" ht="14.4" hidden="false" customHeight="false" outlineLevel="0" collapsed="false">
      <c r="A72" s="0" t="s">
        <v>2832</v>
      </c>
      <c r="B72" s="0" t="s">
        <v>114</v>
      </c>
      <c r="C72" s="0" t="n">
        <v>25</v>
      </c>
      <c r="D72" s="0" t="n">
        <v>0</v>
      </c>
      <c r="E72" s="0" t="n">
        <v>88</v>
      </c>
      <c r="F72" s="0" t="n">
        <v>1.05</v>
      </c>
      <c r="G72" s="0" t="n">
        <v>3</v>
      </c>
      <c r="H72" s="0" t="n">
        <v>0</v>
      </c>
      <c r="I72" s="0" t="n">
        <v>16.63</v>
      </c>
      <c r="J72" s="0" t="n">
        <v>200</v>
      </c>
      <c r="K72" s="0" t="s">
        <v>2829</v>
      </c>
      <c r="L72" s="0" t="s">
        <v>2840</v>
      </c>
      <c r="M72" s="0" t="s">
        <v>2841</v>
      </c>
      <c r="N72" s="0" t="s">
        <v>2602</v>
      </c>
    </row>
    <row r="73" customFormat="false" ht="14.4" hidden="false" customHeight="false" outlineLevel="0" collapsed="false">
      <c r="A73" s="0" t="s">
        <v>2848</v>
      </c>
      <c r="B73" s="0" t="s">
        <v>114</v>
      </c>
      <c r="C73" s="0" t="n">
        <v>12</v>
      </c>
      <c r="D73" s="0" t="n">
        <v>0</v>
      </c>
      <c r="E73" s="0" t="n">
        <v>84</v>
      </c>
      <c r="F73" s="0" t="n">
        <v>1.05</v>
      </c>
      <c r="G73" s="0" t="n">
        <v>3</v>
      </c>
      <c r="H73" s="0" t="n">
        <v>0</v>
      </c>
      <c r="I73" s="0" t="n">
        <v>27.11</v>
      </c>
      <c r="J73" s="0" t="n">
        <v>200</v>
      </c>
      <c r="K73" s="0" t="s">
        <v>2829</v>
      </c>
      <c r="L73" s="0" t="s">
        <v>2840</v>
      </c>
      <c r="M73" s="0" t="s">
        <v>2841</v>
      </c>
      <c r="N73" s="0" t="s">
        <v>2612</v>
      </c>
    </row>
    <row r="74" customFormat="false" ht="14.4" hidden="false" customHeight="false" outlineLevel="0" collapsed="false">
      <c r="A74" s="0" t="s">
        <v>2849</v>
      </c>
      <c r="B74" s="0" t="s">
        <v>114</v>
      </c>
      <c r="C74" s="0" t="n">
        <v>45</v>
      </c>
      <c r="D74" s="0" t="n">
        <v>0</v>
      </c>
      <c r="E74" s="0" t="n">
        <v>142</v>
      </c>
      <c r="F74" s="0" t="n">
        <v>1.05</v>
      </c>
      <c r="G74" s="0" t="n">
        <v>3</v>
      </c>
      <c r="H74" s="0" t="n">
        <v>0</v>
      </c>
      <c r="I74" s="0" t="n">
        <v>23.15</v>
      </c>
      <c r="J74" s="0" t="n">
        <v>200</v>
      </c>
      <c r="K74" s="0" t="s">
        <v>2829</v>
      </c>
      <c r="L74" s="0" t="s">
        <v>2840</v>
      </c>
      <c r="M74" s="0" t="s">
        <v>2841</v>
      </c>
      <c r="N74" s="0" t="s">
        <v>2612</v>
      </c>
    </row>
    <row r="75" customFormat="false" ht="14.4" hidden="false" customHeight="false" outlineLevel="0" collapsed="false">
      <c r="A75" s="0" t="s">
        <v>2850</v>
      </c>
      <c r="B75" s="0" t="s">
        <v>114</v>
      </c>
      <c r="C75" s="0" t="n">
        <v>45</v>
      </c>
      <c r="D75" s="0" t="n">
        <v>0</v>
      </c>
      <c r="E75" s="0" t="n">
        <v>154</v>
      </c>
      <c r="F75" s="0" t="n">
        <v>1.05</v>
      </c>
      <c r="G75" s="0" t="n">
        <v>3</v>
      </c>
      <c r="H75" s="0" t="n">
        <v>0</v>
      </c>
      <c r="I75" s="0" t="n">
        <v>24.02</v>
      </c>
      <c r="J75" s="0" t="n">
        <v>200</v>
      </c>
      <c r="K75" s="0" t="s">
        <v>2829</v>
      </c>
      <c r="L75" s="0" t="s">
        <v>2840</v>
      </c>
      <c r="M75" s="0" t="s">
        <v>2841</v>
      </c>
      <c r="N75" s="0" t="s">
        <v>2602</v>
      </c>
    </row>
    <row r="76" customFormat="false" ht="14.4" hidden="false" customHeight="false" outlineLevel="0" collapsed="false">
      <c r="A76" s="0" t="s">
        <v>2851</v>
      </c>
      <c r="B76" s="0" t="s">
        <v>114</v>
      </c>
      <c r="C76" s="0" t="n">
        <v>25</v>
      </c>
      <c r="D76" s="0" t="n">
        <v>0</v>
      </c>
      <c r="E76" s="0" t="n">
        <v>156</v>
      </c>
      <c r="F76" s="0" t="n">
        <v>1.05</v>
      </c>
      <c r="G76" s="0" t="n">
        <v>3</v>
      </c>
      <c r="H76" s="0" t="n">
        <v>0</v>
      </c>
      <c r="I76" s="0" t="n">
        <v>24.02</v>
      </c>
      <c r="J76" s="0" t="n">
        <v>200</v>
      </c>
      <c r="K76" s="0" t="s">
        <v>2829</v>
      </c>
      <c r="L76" s="0" t="s">
        <v>2840</v>
      </c>
      <c r="M76" s="0" t="s">
        <v>2841</v>
      </c>
      <c r="N76" s="0" t="s">
        <v>2612</v>
      </c>
    </row>
    <row r="77" customFormat="false" ht="14.4" hidden="false" customHeight="false" outlineLevel="0" collapsed="false">
      <c r="A77" s="0" t="s">
        <v>2852</v>
      </c>
      <c r="B77" s="0" t="s">
        <v>114</v>
      </c>
      <c r="C77" s="0" t="n">
        <v>45</v>
      </c>
      <c r="D77" s="0" t="n">
        <v>0</v>
      </c>
      <c r="E77" s="0" t="n">
        <v>154</v>
      </c>
      <c r="F77" s="0" t="n">
        <v>1.05</v>
      </c>
      <c r="G77" s="0" t="n">
        <v>3</v>
      </c>
      <c r="H77" s="0" t="n">
        <v>0</v>
      </c>
      <c r="I77" s="0" t="n">
        <v>24.14</v>
      </c>
      <c r="J77" s="0" t="n">
        <v>200</v>
      </c>
      <c r="K77" s="0" t="s">
        <v>2829</v>
      </c>
      <c r="L77" s="0" t="s">
        <v>2840</v>
      </c>
      <c r="M77" s="0" t="s">
        <v>2841</v>
      </c>
      <c r="N77" s="0" t="s">
        <v>2611</v>
      </c>
    </row>
    <row r="78" customFormat="false" ht="14.4" hidden="false" customHeight="false" outlineLevel="0" collapsed="false">
      <c r="A78" s="0" t="s">
        <v>2853</v>
      </c>
      <c r="B78" s="0" t="s">
        <v>114</v>
      </c>
      <c r="C78" s="0" t="n">
        <v>45</v>
      </c>
      <c r="D78" s="0" t="n">
        <v>0</v>
      </c>
      <c r="E78" s="0" t="n">
        <v>154</v>
      </c>
      <c r="F78" s="0" t="n">
        <v>1.1</v>
      </c>
      <c r="G78" s="0" t="n">
        <v>2</v>
      </c>
      <c r="H78" s="0" t="n">
        <v>0</v>
      </c>
      <c r="I78" s="0" t="n">
        <v>19.42</v>
      </c>
      <c r="J78" s="0" t="n">
        <v>200</v>
      </c>
      <c r="K78" s="0" t="s">
        <v>2781</v>
      </c>
      <c r="L78" s="0" t="s">
        <v>58</v>
      </c>
      <c r="M78" s="0" t="s">
        <v>2841</v>
      </c>
      <c r="N78" s="0" t="s">
        <v>2612</v>
      </c>
    </row>
    <row r="79" customFormat="false" ht="14.4" hidden="false" customHeight="false" outlineLevel="0" collapsed="false">
      <c r="A79" s="0" t="s">
        <v>2854</v>
      </c>
      <c r="B79" s="0" t="s">
        <v>114</v>
      </c>
      <c r="C79" s="0" t="n">
        <v>65</v>
      </c>
      <c r="D79" s="0" t="n">
        <v>0</v>
      </c>
      <c r="E79" s="0" t="n">
        <v>207</v>
      </c>
      <c r="F79" s="0" t="n">
        <v>1.05</v>
      </c>
      <c r="G79" s="0" t="n">
        <v>2</v>
      </c>
      <c r="H79" s="0" t="n">
        <v>0</v>
      </c>
      <c r="I79" s="0" t="n">
        <v>20.65</v>
      </c>
      <c r="J79" s="0" t="n">
        <v>200</v>
      </c>
      <c r="K79" s="0" t="s">
        <v>2855</v>
      </c>
      <c r="L79" s="0" t="s">
        <v>58</v>
      </c>
      <c r="M79" s="0" t="s">
        <v>2841</v>
      </c>
      <c r="N79" s="0" t="s">
        <v>2771</v>
      </c>
    </row>
    <row r="80" customFormat="false" ht="14.4" hidden="false" customHeight="false" outlineLevel="0" collapsed="false">
      <c r="A80" s="0" t="s">
        <v>2856</v>
      </c>
      <c r="B80" s="0" t="s">
        <v>114</v>
      </c>
      <c r="C80" s="0" t="n">
        <v>45</v>
      </c>
      <c r="D80" s="0" t="n">
        <v>0</v>
      </c>
      <c r="E80" s="0" t="n">
        <v>108</v>
      </c>
      <c r="F80" s="0" t="n">
        <v>1</v>
      </c>
      <c r="G80" s="0" t="n">
        <v>4</v>
      </c>
      <c r="H80" s="0" t="n">
        <v>0</v>
      </c>
      <c r="I80" s="0" t="n">
        <v>29.19</v>
      </c>
      <c r="J80" s="0" t="n">
        <v>200</v>
      </c>
      <c r="K80" s="0" t="s">
        <v>2793</v>
      </c>
      <c r="L80" s="0" t="s">
        <v>2840</v>
      </c>
      <c r="M80" s="0" t="s">
        <v>2841</v>
      </c>
      <c r="N80" s="0" t="s">
        <v>2612</v>
      </c>
    </row>
    <row r="81" customFormat="false" ht="14.4" hidden="false" customHeight="false" outlineLevel="0" collapsed="false">
      <c r="A81" s="0" t="s">
        <v>2857</v>
      </c>
      <c r="B81" s="0" t="s">
        <v>114</v>
      </c>
      <c r="C81" s="0" t="n">
        <v>45</v>
      </c>
      <c r="D81" s="0" t="n">
        <v>0</v>
      </c>
      <c r="E81" s="0" t="n">
        <v>120</v>
      </c>
      <c r="F81" s="0" t="n">
        <v>1</v>
      </c>
      <c r="G81" s="0" t="n">
        <v>4</v>
      </c>
      <c r="H81" s="0" t="n">
        <v>0</v>
      </c>
      <c r="I81" s="0" t="n">
        <v>25.8</v>
      </c>
      <c r="J81" s="0" t="n">
        <v>200</v>
      </c>
      <c r="K81" s="0" t="s">
        <v>2815</v>
      </c>
      <c r="L81" s="0" t="s">
        <v>2826</v>
      </c>
      <c r="M81" s="0" t="s">
        <v>2841</v>
      </c>
      <c r="N81" s="0" t="s">
        <v>2612</v>
      </c>
    </row>
    <row r="82" customFormat="false" ht="14.4" hidden="false" customHeight="false" outlineLevel="0" collapsed="false">
      <c r="A82" s="0" t="s">
        <v>2858</v>
      </c>
      <c r="B82" s="0" t="s">
        <v>114</v>
      </c>
      <c r="C82" s="0" t="n">
        <v>45</v>
      </c>
      <c r="D82" s="0" t="n">
        <v>0</v>
      </c>
      <c r="E82" s="0" t="n">
        <v>148</v>
      </c>
      <c r="F82" s="0" t="n">
        <v>1</v>
      </c>
      <c r="G82" s="0" t="n">
        <v>3</v>
      </c>
      <c r="H82" s="0" t="n">
        <v>0</v>
      </c>
      <c r="I82" s="0" t="n">
        <v>24.02</v>
      </c>
      <c r="J82" s="0" t="n">
        <v>200</v>
      </c>
      <c r="K82" s="0" t="s">
        <v>2815</v>
      </c>
      <c r="L82" s="0" t="s">
        <v>58</v>
      </c>
      <c r="M82" s="0" t="s">
        <v>2841</v>
      </c>
      <c r="N82" s="0" t="s">
        <v>2731</v>
      </c>
    </row>
    <row r="83" customFormat="false" ht="14.4" hidden="false" customHeight="false" outlineLevel="0" collapsed="false">
      <c r="A83" s="0" t="s">
        <v>2859</v>
      </c>
      <c r="B83" s="0" t="s">
        <v>114</v>
      </c>
      <c r="C83" s="0" t="n">
        <v>12</v>
      </c>
      <c r="D83" s="0" t="n">
        <v>0</v>
      </c>
      <c r="E83" s="0" t="n">
        <v>92</v>
      </c>
      <c r="F83" s="0" t="n">
        <v>1.25</v>
      </c>
      <c r="G83" s="0" t="n">
        <v>3</v>
      </c>
      <c r="H83" s="0" t="n">
        <v>0</v>
      </c>
      <c r="I83" s="0" t="n">
        <v>27.4</v>
      </c>
      <c r="J83" s="0" t="n">
        <v>200</v>
      </c>
      <c r="N83" s="0" t="s">
        <v>2612</v>
      </c>
    </row>
    <row r="84" customFormat="false" ht="14.4" hidden="false" customHeight="false" outlineLevel="0" collapsed="false">
      <c r="A84" s="0" t="s">
        <v>2860</v>
      </c>
      <c r="B84" s="0" t="s">
        <v>114</v>
      </c>
      <c r="C84" s="0" t="n">
        <v>45</v>
      </c>
      <c r="D84" s="0" t="n">
        <v>0</v>
      </c>
      <c r="E84" s="0" t="n">
        <v>105</v>
      </c>
      <c r="F84" s="0" t="n">
        <v>1</v>
      </c>
      <c r="G84" s="0" t="n">
        <v>3</v>
      </c>
      <c r="H84" s="0" t="n">
        <v>0</v>
      </c>
      <c r="I84" s="0" t="n">
        <v>18.2</v>
      </c>
      <c r="J84" s="0" t="n">
        <v>200</v>
      </c>
      <c r="N84" s="0" t="s">
        <v>2612</v>
      </c>
    </row>
    <row r="85" customFormat="false" ht="14.4" hidden="false" customHeight="false" outlineLevel="0" collapsed="false">
      <c r="A85" s="0" t="s">
        <v>136</v>
      </c>
      <c r="B85" s="0" t="s">
        <v>114</v>
      </c>
      <c r="C85" s="0" t="n">
        <v>45</v>
      </c>
      <c r="D85" s="0" t="n">
        <v>0</v>
      </c>
      <c r="E85" s="0" t="n">
        <v>150</v>
      </c>
      <c r="F85" s="0" t="n">
        <v>1.1</v>
      </c>
      <c r="G85" s="0" t="n">
        <v>3</v>
      </c>
      <c r="H85" s="0" t="n">
        <v>0</v>
      </c>
      <c r="I85" s="0" t="n">
        <v>24.02</v>
      </c>
      <c r="J85" s="0" t="n">
        <v>200</v>
      </c>
      <c r="N85" s="0" t="s">
        <v>2861</v>
      </c>
    </row>
    <row r="86" customFormat="false" ht="14.4" hidden="false" customHeight="false" outlineLevel="0" collapsed="false">
      <c r="A86" s="0" t="s">
        <v>2862</v>
      </c>
      <c r="B86" s="0" t="s">
        <v>114</v>
      </c>
      <c r="C86" s="0" t="n">
        <v>45</v>
      </c>
      <c r="D86" s="0" t="n">
        <v>0</v>
      </c>
      <c r="E86" s="0" t="n">
        <v>154</v>
      </c>
      <c r="F86" s="0" t="n">
        <v>1.05</v>
      </c>
      <c r="G86" s="0" t="n">
        <v>3</v>
      </c>
      <c r="H86" s="0" t="n">
        <v>0</v>
      </c>
      <c r="I86" s="0" t="n">
        <v>24.21</v>
      </c>
      <c r="N86" s="0" t="s">
        <v>2611</v>
      </c>
    </row>
    <row r="88" customFormat="false" ht="14.4" hidden="false" customHeight="false" outlineLevel="0" collapsed="false">
      <c r="A88" s="144" t="s">
        <v>97</v>
      </c>
      <c r="B88" s="144" t="s">
        <v>99</v>
      </c>
      <c r="C88" s="144" t="s">
        <v>173</v>
      </c>
      <c r="D88" s="144" t="s">
        <v>151</v>
      </c>
      <c r="E88" s="144" t="s">
        <v>179</v>
      </c>
      <c r="F88" s="144" t="s">
        <v>184</v>
      </c>
      <c r="G88" s="144" t="s">
        <v>2749</v>
      </c>
      <c r="H88" s="144" t="s">
        <v>2863</v>
      </c>
      <c r="I88" s="144" t="s">
        <v>2751</v>
      </c>
      <c r="J88" s="144" t="s">
        <v>141</v>
      </c>
    </row>
    <row r="89" customFormat="false" ht="14.4" hidden="false" customHeight="false" outlineLevel="0" collapsed="false">
      <c r="A89" s="0" t="s">
        <v>2864</v>
      </c>
      <c r="B89" s="0" t="n">
        <v>12</v>
      </c>
      <c r="C89" s="0" t="n">
        <v>150</v>
      </c>
      <c r="D89" s="0" t="n">
        <v>1</v>
      </c>
      <c r="E89" s="0" t="n">
        <v>2</v>
      </c>
      <c r="F89" s="0" t="n">
        <v>20.8</v>
      </c>
      <c r="G89" s="0" t="n">
        <v>60</v>
      </c>
      <c r="H89" s="0" t="s">
        <v>2865</v>
      </c>
      <c r="I89" s="0" t="s">
        <v>2866</v>
      </c>
      <c r="J89" s="0" t="s">
        <v>2602</v>
      </c>
    </row>
    <row r="90" customFormat="false" ht="14.4" hidden="false" customHeight="false" outlineLevel="0" collapsed="false">
      <c r="A90" s="0" t="s">
        <v>2867</v>
      </c>
      <c r="B90" s="0" t="n">
        <v>12</v>
      </c>
      <c r="C90" s="0" t="n">
        <v>116</v>
      </c>
      <c r="D90" s="0" t="n">
        <v>1</v>
      </c>
      <c r="E90" s="0" t="n">
        <v>3</v>
      </c>
      <c r="F90" s="0" t="n">
        <v>21.87</v>
      </c>
      <c r="G90" s="0" t="n">
        <v>50</v>
      </c>
      <c r="H90" s="0" t="s">
        <v>2798</v>
      </c>
      <c r="I90" s="0" t="s">
        <v>2866</v>
      </c>
      <c r="J90" s="0" t="s">
        <v>2602</v>
      </c>
    </row>
    <row r="91" customFormat="false" ht="14.4" hidden="false" customHeight="false" outlineLevel="0" collapsed="false">
      <c r="A91" s="0" t="s">
        <v>2868</v>
      </c>
      <c r="B91" s="0" t="n">
        <v>25</v>
      </c>
      <c r="C91" s="0" t="n">
        <v>145</v>
      </c>
      <c r="D91" s="0" t="n">
        <v>1</v>
      </c>
      <c r="E91" s="0" t="n">
        <v>3</v>
      </c>
      <c r="F91" s="0" t="n">
        <v>22.22</v>
      </c>
      <c r="G91" s="0" t="n">
        <v>52</v>
      </c>
      <c r="H91" s="0" t="s">
        <v>2798</v>
      </c>
      <c r="I91" s="0" t="s">
        <v>2866</v>
      </c>
      <c r="J91" s="0" t="s">
        <v>2869</v>
      </c>
    </row>
    <row r="92" customFormat="false" ht="14.4" hidden="false" customHeight="false" outlineLevel="0" collapsed="false">
      <c r="A92" s="0" t="s">
        <v>2870</v>
      </c>
      <c r="B92" s="0" t="n">
        <v>25</v>
      </c>
      <c r="C92" s="0" t="n">
        <v>162</v>
      </c>
      <c r="D92" s="0" t="n">
        <v>1</v>
      </c>
      <c r="E92" s="0" t="n">
        <v>3</v>
      </c>
      <c r="F92" s="0" t="n">
        <v>20.68</v>
      </c>
      <c r="G92" s="0" t="n">
        <v>50</v>
      </c>
      <c r="H92" s="0" t="s">
        <v>2840</v>
      </c>
      <c r="I92" s="0" t="s">
        <v>2866</v>
      </c>
      <c r="J92" s="0" t="s">
        <v>2602</v>
      </c>
    </row>
    <row r="93" customFormat="false" ht="14.4" hidden="false" customHeight="false" outlineLevel="0" collapsed="false">
      <c r="A93" s="0" t="s">
        <v>2871</v>
      </c>
      <c r="B93" s="0" t="n">
        <v>25</v>
      </c>
      <c r="C93" s="0" t="n">
        <v>206</v>
      </c>
      <c r="D93" s="0" t="n">
        <v>1</v>
      </c>
      <c r="E93" s="0" t="n">
        <v>3</v>
      </c>
      <c r="F93" s="0" t="n">
        <v>24.52</v>
      </c>
      <c r="G93" s="0" t="n">
        <v>60</v>
      </c>
      <c r="H93" s="0" t="s">
        <v>2798</v>
      </c>
      <c r="I93" s="0" t="s">
        <v>2866</v>
      </c>
      <c r="J93" s="0" t="s">
        <v>2602</v>
      </c>
    </row>
    <row r="94" customFormat="false" ht="14.4" hidden="false" customHeight="false" outlineLevel="0" collapsed="false">
      <c r="A94" s="0" t="s">
        <v>2872</v>
      </c>
      <c r="B94" s="0" t="n">
        <v>25</v>
      </c>
      <c r="C94" s="0" t="n">
        <v>156</v>
      </c>
      <c r="D94" s="0" t="n">
        <v>1</v>
      </c>
      <c r="E94" s="0" t="n">
        <v>4</v>
      </c>
      <c r="F94" s="0" t="n">
        <v>23.14</v>
      </c>
      <c r="G94" s="0" t="n">
        <v>50</v>
      </c>
      <c r="H94" s="0" t="s">
        <v>2840</v>
      </c>
      <c r="I94" s="0" t="s">
        <v>2866</v>
      </c>
      <c r="J94" s="0" t="s">
        <v>2602</v>
      </c>
    </row>
    <row r="95" customFormat="false" ht="14.4" hidden="false" customHeight="false" outlineLevel="0" collapsed="false">
      <c r="A95" s="0" t="s">
        <v>2873</v>
      </c>
      <c r="B95" s="0" t="n">
        <v>45</v>
      </c>
      <c r="C95" s="0" t="n">
        <v>145</v>
      </c>
      <c r="D95" s="0" t="n">
        <v>1</v>
      </c>
      <c r="E95" s="0" t="n">
        <v>4</v>
      </c>
      <c r="F95" s="0" t="n">
        <v>25.47</v>
      </c>
      <c r="G95" s="0" t="n">
        <v>52</v>
      </c>
      <c r="H95" s="0" t="s">
        <v>2840</v>
      </c>
      <c r="I95" s="0" t="s">
        <v>2866</v>
      </c>
      <c r="J95" s="0" t="s">
        <v>2869</v>
      </c>
    </row>
    <row r="96" customFormat="false" ht="14.4" hidden="false" customHeight="false" outlineLevel="0" collapsed="false">
      <c r="A96" s="0" t="s">
        <v>2874</v>
      </c>
      <c r="B96" s="0" t="n">
        <v>45</v>
      </c>
      <c r="C96" s="0" t="n">
        <v>206</v>
      </c>
      <c r="D96" s="0" t="n">
        <v>1</v>
      </c>
      <c r="E96" s="0" t="n">
        <v>4</v>
      </c>
      <c r="F96" s="0" t="n">
        <v>28.54</v>
      </c>
      <c r="G96" s="0" t="n">
        <v>60</v>
      </c>
      <c r="H96" s="0" t="s">
        <v>2840</v>
      </c>
      <c r="I96" s="0" t="s">
        <v>2866</v>
      </c>
      <c r="J96" s="0" t="s">
        <v>2602</v>
      </c>
    </row>
    <row r="97" customFormat="false" ht="14.4" hidden="false" customHeight="false" outlineLevel="0" collapsed="false">
      <c r="A97" s="0" t="s">
        <v>2875</v>
      </c>
      <c r="B97" s="0" t="n">
        <v>45</v>
      </c>
      <c r="C97" s="0" t="n">
        <v>156</v>
      </c>
      <c r="D97" s="0" t="n">
        <v>1</v>
      </c>
      <c r="E97" s="0" t="n">
        <v>5</v>
      </c>
      <c r="F97" s="0" t="n">
        <v>26.44</v>
      </c>
      <c r="G97" s="0" t="n">
        <v>50</v>
      </c>
      <c r="H97" s="0" t="s">
        <v>2866</v>
      </c>
      <c r="I97" s="0" t="s">
        <v>2866</v>
      </c>
      <c r="J97" s="0" t="s">
        <v>2602</v>
      </c>
    </row>
    <row r="98" customFormat="false" ht="14.4" hidden="false" customHeight="false" outlineLevel="0" collapsed="false">
      <c r="A98" s="0" t="s">
        <v>2876</v>
      </c>
      <c r="B98" s="0" t="n">
        <v>45</v>
      </c>
      <c r="C98" s="0" t="n">
        <v>133</v>
      </c>
      <c r="D98" s="0" t="n">
        <v>1</v>
      </c>
      <c r="E98" s="0" t="n">
        <v>5</v>
      </c>
      <c r="F98" s="0" t="n">
        <v>30.93</v>
      </c>
      <c r="G98" s="0" t="n">
        <v>52</v>
      </c>
      <c r="H98" s="0" t="s">
        <v>2866</v>
      </c>
      <c r="I98" s="0" t="s">
        <v>2866</v>
      </c>
      <c r="J98" s="0" t="s">
        <v>2869</v>
      </c>
    </row>
    <row r="99" customFormat="false" ht="14.4" hidden="false" customHeight="false" outlineLevel="0" collapsed="false">
      <c r="A99" s="0" t="s">
        <v>2877</v>
      </c>
      <c r="B99" s="0" t="n">
        <v>70</v>
      </c>
      <c r="C99" s="0" t="n">
        <v>145</v>
      </c>
      <c r="D99" s="0" t="n">
        <v>1</v>
      </c>
      <c r="E99" s="0" t="n">
        <v>5</v>
      </c>
      <c r="F99" s="0" t="n">
        <v>29.4</v>
      </c>
      <c r="G99" s="0" t="n">
        <v>52</v>
      </c>
      <c r="H99" s="0" t="s">
        <v>2866</v>
      </c>
      <c r="I99" s="0" t="s">
        <v>2866</v>
      </c>
      <c r="J99" s="0" t="s">
        <v>2869</v>
      </c>
    </row>
    <row r="100" customFormat="false" ht="14.4" hidden="false" customHeight="false" outlineLevel="0" collapsed="false">
      <c r="A100" s="0" t="s">
        <v>2878</v>
      </c>
      <c r="B100" s="0" t="n">
        <v>45</v>
      </c>
      <c r="C100" s="0" t="n">
        <v>172</v>
      </c>
      <c r="D100" s="0" t="n">
        <v>1</v>
      </c>
      <c r="E100" s="0" t="n">
        <v>5</v>
      </c>
      <c r="F100" s="0" t="n">
        <v>28</v>
      </c>
      <c r="G100" s="0" t="n">
        <v>50</v>
      </c>
      <c r="H100" s="0" t="s">
        <v>2866</v>
      </c>
      <c r="J100" s="0" t="s">
        <v>2602</v>
      </c>
    </row>
    <row r="101" customFormat="false" ht="14.4" hidden="false" customHeight="false" outlineLevel="0" collapsed="false">
      <c r="A101" s="0" t="s">
        <v>2879</v>
      </c>
      <c r="B101" s="0" t="n">
        <v>45</v>
      </c>
      <c r="C101" s="0" t="n">
        <v>160</v>
      </c>
      <c r="D101" s="0" t="n">
        <v>1</v>
      </c>
      <c r="E101" s="0" t="n">
        <v>5</v>
      </c>
      <c r="F101" s="0" t="n">
        <v>26.41</v>
      </c>
      <c r="G101" s="0" t="n">
        <v>50</v>
      </c>
      <c r="H101" s="0" t="s">
        <v>2866</v>
      </c>
      <c r="J101" s="0" t="s">
        <v>2602</v>
      </c>
    </row>
    <row r="102" customFormat="false" ht="14.4" hidden="false" customHeight="false" outlineLevel="0" collapsed="false">
      <c r="A102" s="0" t="s">
        <v>2880</v>
      </c>
      <c r="B102" s="0" t="n">
        <v>45</v>
      </c>
      <c r="C102" s="0" t="n">
        <v>210</v>
      </c>
      <c r="D102" s="0" t="n">
        <v>1</v>
      </c>
      <c r="E102" s="0" t="n">
        <v>4</v>
      </c>
      <c r="F102" s="0" t="n">
        <v>28.33</v>
      </c>
      <c r="G102" s="0" t="n">
        <v>60</v>
      </c>
      <c r="H102" s="0" t="s">
        <v>2826</v>
      </c>
      <c r="J102" s="0" t="s">
        <v>2602</v>
      </c>
    </row>
    <row r="104" customFormat="false" ht="14.4" hidden="false" customHeight="false" outlineLevel="0" collapsed="false">
      <c r="A104" s="144" t="s">
        <v>141</v>
      </c>
      <c r="B104" s="144" t="s">
        <v>138</v>
      </c>
      <c r="C104" s="144" t="s">
        <v>140</v>
      </c>
      <c r="D104" s="144" t="s">
        <v>142</v>
      </c>
      <c r="E104" s="144" t="s">
        <v>419</v>
      </c>
    </row>
    <row r="105" customFormat="false" ht="14.4" hidden="false" customHeight="false" outlineLevel="0" collapsed="false">
      <c r="A105" s="0" t="s">
        <v>2602</v>
      </c>
      <c r="B105" s="0" t="n">
        <v>1</v>
      </c>
      <c r="C105" s="0" t="n">
        <v>0.5</v>
      </c>
      <c r="D105" s="0" t="n">
        <v>0.2</v>
      </c>
      <c r="E105" s="0" t="n">
        <v>180</v>
      </c>
    </row>
    <row r="106" customFormat="false" ht="14.4" hidden="false" customHeight="false" outlineLevel="0" collapsed="false">
      <c r="A106" s="0" t="s">
        <v>2758</v>
      </c>
      <c r="B106" s="0" t="n">
        <v>1</v>
      </c>
      <c r="C106" s="0" t="n">
        <v>0.6</v>
      </c>
      <c r="D106" s="0" t="n">
        <v>0.2</v>
      </c>
      <c r="E106" s="0" t="n">
        <v>180</v>
      </c>
    </row>
    <row r="107" customFormat="false" ht="14.4" hidden="false" customHeight="false" outlineLevel="0" collapsed="false">
      <c r="A107" s="0" t="s">
        <v>77</v>
      </c>
      <c r="B107" s="0" t="n">
        <v>1</v>
      </c>
      <c r="C107" s="0" t="n">
        <v>0.55</v>
      </c>
      <c r="D107" s="0" t="n">
        <v>0.25</v>
      </c>
    </row>
    <row r="108" customFormat="false" ht="14.4" hidden="false" customHeight="false" outlineLevel="0" collapsed="false">
      <c r="A108" s="0" t="s">
        <v>2612</v>
      </c>
      <c r="B108" s="0" t="n">
        <v>1.2</v>
      </c>
      <c r="C108" s="0" t="n">
        <v>0.6</v>
      </c>
      <c r="D108" s="0" t="n">
        <v>0.6</v>
      </c>
      <c r="E108" s="0" t="n">
        <v>150</v>
      </c>
    </row>
    <row r="109" customFormat="false" ht="14.4" hidden="false" customHeight="false" outlineLevel="0" collapsed="false">
      <c r="A109" s="0" t="s">
        <v>2611</v>
      </c>
      <c r="B109" s="0" t="n">
        <v>0.9</v>
      </c>
      <c r="C109" s="0" t="n">
        <v>0.7</v>
      </c>
      <c r="D109" s="0" t="n">
        <v>0.4</v>
      </c>
      <c r="E109" s="0" t="n">
        <v>220</v>
      </c>
    </row>
    <row r="110" customFormat="false" ht="14.4" hidden="false" customHeight="false" outlineLevel="0" collapsed="false">
      <c r="A110" s="0" t="s">
        <v>2621</v>
      </c>
      <c r="B110" s="0" t="n">
        <v>0.8</v>
      </c>
      <c r="C110" s="0" t="n">
        <v>1</v>
      </c>
      <c r="D110" s="0" t="n">
        <v>1.3</v>
      </c>
    </row>
    <row r="112" customFormat="false" ht="14.4" hidden="false" customHeight="false" outlineLevel="0" collapsed="false">
      <c r="A112" s="144" t="s">
        <v>141</v>
      </c>
      <c r="B112" s="144" t="s">
        <v>138</v>
      </c>
      <c r="C112" s="144" t="s">
        <v>140</v>
      </c>
      <c r="D112" s="144" t="s">
        <v>142</v>
      </c>
      <c r="E112" s="144" t="s">
        <v>419</v>
      </c>
    </row>
    <row r="113" customFormat="false" ht="14.4" hidden="false" customHeight="false" outlineLevel="0" collapsed="false">
      <c r="A113" s="0" t="s">
        <v>2602</v>
      </c>
      <c r="B113" s="0" t="n">
        <v>1</v>
      </c>
      <c r="C113" s="0" t="n">
        <v>0.75</v>
      </c>
      <c r="D113" s="0" t="n">
        <v>0.4</v>
      </c>
      <c r="E113" s="0" t="n">
        <v>180</v>
      </c>
    </row>
    <row r="114" customFormat="false" ht="14.4" hidden="false" customHeight="false" outlineLevel="0" collapsed="false">
      <c r="A114" s="0" t="s">
        <v>2765</v>
      </c>
      <c r="B114" s="0" t="n">
        <v>1.45</v>
      </c>
      <c r="C114" s="0" t="n">
        <v>1.05</v>
      </c>
      <c r="D114" s="0" t="n">
        <v>0.7</v>
      </c>
      <c r="E114" s="0" t="n">
        <v>150</v>
      </c>
    </row>
    <row r="115" customFormat="false" ht="14.4" hidden="false" customHeight="false" outlineLevel="0" collapsed="false">
      <c r="A115" s="0" t="s">
        <v>2612</v>
      </c>
      <c r="B115" s="0" t="n">
        <v>1.4</v>
      </c>
      <c r="C115" s="0" t="n">
        <v>0.9</v>
      </c>
      <c r="D115" s="0" t="n">
        <v>0.7</v>
      </c>
      <c r="E115" s="0" t="n">
        <v>150</v>
      </c>
    </row>
    <row r="116" customFormat="false" ht="14.4" hidden="false" customHeight="false" outlineLevel="0" collapsed="false">
      <c r="A116" s="0" t="s">
        <v>2771</v>
      </c>
      <c r="B116" s="0" t="n">
        <v>1.1</v>
      </c>
      <c r="C116" s="0" t="n">
        <v>0.9</v>
      </c>
      <c r="D116" s="0" t="n">
        <v>0.7</v>
      </c>
      <c r="E116" s="0" t="n">
        <v>220</v>
      </c>
    </row>
    <row r="117" customFormat="false" ht="14.4" hidden="false" customHeight="false" outlineLevel="0" collapsed="false">
      <c r="A117" s="0" t="s">
        <v>2611</v>
      </c>
      <c r="B117" s="0" t="n">
        <v>1</v>
      </c>
      <c r="C117" s="0" t="n">
        <v>0.8</v>
      </c>
      <c r="D117" s="0" t="n">
        <v>0.6</v>
      </c>
      <c r="E117" s="0" t="n">
        <v>220</v>
      </c>
    </row>
    <row r="118" customFormat="false" ht="14.4" hidden="false" customHeight="false" outlineLevel="0" collapsed="false">
      <c r="A118" s="0" t="s">
        <v>2768</v>
      </c>
      <c r="B118" s="0" t="n">
        <v>1.45</v>
      </c>
      <c r="C118" s="0" t="n">
        <v>1.1</v>
      </c>
      <c r="D118" s="0" t="n">
        <v>0.75</v>
      </c>
      <c r="E118" s="0" t="n">
        <v>150</v>
      </c>
    </row>
    <row r="119" customFormat="false" ht="14.4" hidden="false" customHeight="false" outlineLevel="0" collapsed="false">
      <c r="A119" s="0" t="s">
        <v>2621</v>
      </c>
      <c r="B119" s="0" t="n">
        <v>0.8</v>
      </c>
      <c r="C119" s="0" t="n">
        <v>1</v>
      </c>
      <c r="D119" s="0" t="n">
        <v>1.3</v>
      </c>
    </row>
    <row r="121" customFormat="false" ht="14.4" hidden="false" customHeight="false" outlineLevel="0" collapsed="false">
      <c r="A121" s="144" t="s">
        <v>141</v>
      </c>
      <c r="B121" s="144" t="s">
        <v>138</v>
      </c>
      <c r="C121" s="144" t="s">
        <v>140</v>
      </c>
      <c r="D121" s="144" t="s">
        <v>142</v>
      </c>
      <c r="E121" s="144" t="s">
        <v>419</v>
      </c>
    </row>
    <row r="122" customFormat="false" ht="14.4" hidden="false" customHeight="false" outlineLevel="0" collapsed="false">
      <c r="A122" s="0" t="s">
        <v>2612</v>
      </c>
      <c r="B122" s="0" t="n">
        <v>1.35</v>
      </c>
      <c r="C122" s="0" t="n">
        <v>0.95</v>
      </c>
      <c r="D122" s="0" t="n">
        <v>0.7</v>
      </c>
      <c r="E122" s="0" t="n">
        <v>150</v>
      </c>
    </row>
    <row r="123" customFormat="false" ht="14.4" hidden="false" customHeight="false" outlineLevel="0" collapsed="false">
      <c r="A123" s="0" t="s">
        <v>2611</v>
      </c>
      <c r="B123" s="0" t="n">
        <v>0.75</v>
      </c>
      <c r="C123" s="0" t="n">
        <v>1.1</v>
      </c>
      <c r="D123" s="0" t="n">
        <v>0.75</v>
      </c>
      <c r="E123" s="0" t="n">
        <v>220</v>
      </c>
    </row>
    <row r="124" customFormat="false" ht="14.4" hidden="false" customHeight="false" outlineLevel="0" collapsed="false">
      <c r="A124" s="0" t="s">
        <v>2771</v>
      </c>
      <c r="B124" s="0" t="n">
        <v>0.75</v>
      </c>
      <c r="C124" s="0" t="n">
        <v>1.1</v>
      </c>
      <c r="D124" s="0" t="n">
        <v>0.85</v>
      </c>
    </row>
    <row r="125" customFormat="false" ht="14.4" hidden="false" customHeight="false" outlineLevel="0" collapsed="false">
      <c r="A125" s="0" t="s">
        <v>2602</v>
      </c>
      <c r="B125" s="0" t="n">
        <v>1</v>
      </c>
      <c r="C125" s="0" t="n">
        <v>0.9</v>
      </c>
      <c r="D125" s="0" t="n">
        <v>0.5</v>
      </c>
      <c r="E125" s="0" t="n">
        <v>180</v>
      </c>
    </row>
    <row r="126" customFormat="false" ht="14.4" hidden="false" customHeight="false" outlineLevel="0" collapsed="false">
      <c r="A126" s="0" t="s">
        <v>2765</v>
      </c>
      <c r="B126" s="0" t="n">
        <v>1.35</v>
      </c>
      <c r="C126" s="0" t="n">
        <v>1</v>
      </c>
      <c r="D126" s="0" t="n">
        <v>0.75</v>
      </c>
      <c r="E126" s="0" t="n">
        <v>150</v>
      </c>
    </row>
    <row r="127" customFormat="false" ht="14.4" hidden="false" customHeight="false" outlineLevel="0" collapsed="false">
      <c r="A127" s="0" t="s">
        <v>2731</v>
      </c>
      <c r="B127" s="0" t="n">
        <v>0.65</v>
      </c>
      <c r="C127" s="0" t="n">
        <v>1.25</v>
      </c>
      <c r="D127" s="0" t="n">
        <v>0.65</v>
      </c>
      <c r="E127" s="0" t="n">
        <v>220</v>
      </c>
    </row>
    <row r="128" customFormat="false" ht="14.4" hidden="false" customHeight="false" outlineLevel="0" collapsed="false">
      <c r="A128" s="0" t="s">
        <v>2621</v>
      </c>
      <c r="B128" s="0" t="n">
        <v>0.8</v>
      </c>
      <c r="C128" s="0" t="n">
        <v>1</v>
      </c>
      <c r="D128" s="0" t="n">
        <v>1.3</v>
      </c>
    </row>
    <row r="129" customFormat="false" ht="14.4" hidden="false" customHeight="false" outlineLevel="0" collapsed="false">
      <c r="A129" s="0" t="s">
        <v>2758</v>
      </c>
      <c r="B129" s="0" t="n">
        <v>1.15</v>
      </c>
      <c r="C129" s="0" t="n">
        <v>1.1</v>
      </c>
      <c r="D129" s="0" t="n">
        <v>0.9</v>
      </c>
    </row>
    <row r="130" customFormat="false" ht="14.4" hidden="false" customHeight="false" outlineLevel="0" collapsed="false">
      <c r="A130" s="0" t="s">
        <v>77</v>
      </c>
      <c r="B130" s="0" t="n">
        <v>1.15</v>
      </c>
      <c r="C130" s="0" t="n">
        <v>1.15</v>
      </c>
      <c r="D130" s="0" t="n">
        <v>0.95</v>
      </c>
    </row>
    <row r="132" customFormat="false" ht="14.4" hidden="false" customHeight="false" outlineLevel="0" collapsed="false">
      <c r="A132" s="144" t="s">
        <v>141</v>
      </c>
      <c r="B132" s="144" t="s">
        <v>138</v>
      </c>
      <c r="C132" s="144" t="s">
        <v>140</v>
      </c>
      <c r="D132" s="144" t="s">
        <v>142</v>
      </c>
      <c r="E132" s="144" t="s">
        <v>419</v>
      </c>
    </row>
    <row r="133" customFormat="false" ht="14.4" hidden="false" customHeight="false" outlineLevel="0" collapsed="false">
      <c r="A133" s="0" t="s">
        <v>2602</v>
      </c>
      <c r="B133" s="0" t="n">
        <v>0.7</v>
      </c>
      <c r="C133" s="0" t="n">
        <v>1</v>
      </c>
      <c r="D133" s="0" t="n">
        <v>0.9</v>
      </c>
      <c r="E133" s="0" t="n">
        <v>120</v>
      </c>
    </row>
    <row r="134" customFormat="false" ht="14.4" hidden="false" customHeight="false" outlineLevel="0" collapsed="false">
      <c r="A134" s="0" t="s">
        <v>2881</v>
      </c>
      <c r="B134" s="0" t="n">
        <v>1.4</v>
      </c>
      <c r="C134" s="0" t="n">
        <v>1.1</v>
      </c>
      <c r="D134" s="0" t="n">
        <v>0.9</v>
      </c>
      <c r="E134" s="0" t="n">
        <v>120</v>
      </c>
    </row>
    <row r="135" customFormat="false" ht="14.4" hidden="false" customHeight="false" outlineLevel="0" collapsed="false">
      <c r="A135" s="0" t="s">
        <v>2882</v>
      </c>
      <c r="B135" s="0" t="n">
        <v>1.45</v>
      </c>
      <c r="C135" s="0" t="n">
        <v>1.05</v>
      </c>
      <c r="D135" s="0" t="n">
        <v>0.7</v>
      </c>
      <c r="E135" s="0" t="s">
        <v>209</v>
      </c>
    </row>
    <row r="136" customFormat="false" ht="14.4" hidden="false" customHeight="false" outlineLevel="0" collapsed="false">
      <c r="A136" s="0" t="s">
        <v>2612</v>
      </c>
      <c r="B136" s="0" t="n">
        <v>1.4</v>
      </c>
      <c r="C136" s="0" t="n">
        <v>1.1</v>
      </c>
      <c r="D136" s="0" t="n">
        <v>0.9</v>
      </c>
      <c r="E136" s="0" t="n">
        <v>100</v>
      </c>
    </row>
    <row r="137" customFormat="false" ht="14.4" hidden="false" customHeight="false" outlineLevel="0" collapsed="false">
      <c r="A137" s="0" t="s">
        <v>2611</v>
      </c>
      <c r="B137" s="0" t="n">
        <v>0.45</v>
      </c>
      <c r="C137" s="0" t="n">
        <v>1.3</v>
      </c>
      <c r="D137" s="0" t="n">
        <v>1.1</v>
      </c>
      <c r="E137" s="0" t="n">
        <v>120</v>
      </c>
    </row>
    <row r="138" customFormat="false" ht="14.4" hidden="false" customHeight="false" outlineLevel="0" collapsed="false">
      <c r="A138" s="0" t="s">
        <v>2771</v>
      </c>
      <c r="B138" s="0" t="n">
        <v>0.55</v>
      </c>
      <c r="C138" s="0" t="n">
        <v>1.45</v>
      </c>
      <c r="D138" s="0" t="n">
        <v>1.25</v>
      </c>
      <c r="E138" s="0" t="n">
        <v>120</v>
      </c>
    </row>
    <row r="139" customFormat="false" ht="14.4" hidden="false" customHeight="false" outlineLevel="0" collapsed="false">
      <c r="A139" s="0" t="s">
        <v>2731</v>
      </c>
      <c r="B139" s="0" t="n">
        <v>0.4</v>
      </c>
      <c r="C139" s="0" t="n">
        <v>1.35</v>
      </c>
      <c r="D139" s="0" t="n">
        <v>1.15</v>
      </c>
      <c r="E139" s="0" t="n">
        <v>120</v>
      </c>
    </row>
    <row r="140" customFormat="false" ht="14.4" hidden="false" customHeight="false" outlineLevel="0" collapsed="false">
      <c r="A140" s="0" t="s">
        <v>2883</v>
      </c>
      <c r="B140" s="0" t="n">
        <v>0.6</v>
      </c>
      <c r="C140" s="0" t="n">
        <v>1.35</v>
      </c>
      <c r="D140" s="0" t="n">
        <v>1.15</v>
      </c>
      <c r="E140" s="0" t="n">
        <v>110</v>
      </c>
    </row>
    <row r="141" customFormat="false" ht="14.4" hidden="false" customHeight="false" outlineLevel="0" collapsed="false">
      <c r="A141" s="0" t="s">
        <v>2861</v>
      </c>
      <c r="B141" s="0" t="n">
        <v>0.4</v>
      </c>
      <c r="C141" s="0" t="n">
        <v>1.4</v>
      </c>
      <c r="D141" s="0" t="n">
        <v>1.2</v>
      </c>
    </row>
    <row r="143" customFormat="false" ht="14.4" hidden="false" customHeight="false" outlineLevel="0" collapsed="false">
      <c r="A143" s="144" t="s">
        <v>141</v>
      </c>
      <c r="B143" s="144" t="s">
        <v>138</v>
      </c>
      <c r="C143" s="144" t="s">
        <v>140</v>
      </c>
      <c r="D143" s="144" t="s">
        <v>142</v>
      </c>
      <c r="E143" s="144" t="s">
        <v>419</v>
      </c>
    </row>
    <row r="144" customFormat="false" ht="14.4" hidden="false" customHeight="false" outlineLevel="0" collapsed="false">
      <c r="A144" s="0" t="s">
        <v>2602</v>
      </c>
      <c r="B144" s="0" t="n">
        <v>0.8</v>
      </c>
      <c r="C144" s="0" t="n">
        <v>1</v>
      </c>
      <c r="D144" s="0" t="n">
        <v>1.3</v>
      </c>
      <c r="E144" s="0" t="n">
        <v>30</v>
      </c>
    </row>
    <row r="145" customFormat="false" ht="14.4" hidden="false" customHeight="false" outlineLevel="0" collapsed="false">
      <c r="A145" s="0" t="s">
        <v>2869</v>
      </c>
      <c r="B145" s="0" t="n">
        <v>0.8</v>
      </c>
      <c r="C145" s="0" t="n">
        <v>1</v>
      </c>
      <c r="D145" s="0" t="n">
        <v>1.3</v>
      </c>
      <c r="E145" s="0" t="n">
        <v>20</v>
      </c>
    </row>
    <row r="146" customFormat="false" ht="14.4" hidden="false" customHeight="false" outlineLevel="0" collapsed="false">
      <c r="A146" s="0" t="s">
        <v>2884</v>
      </c>
      <c r="B146" s="0" t="n">
        <v>0.8</v>
      </c>
      <c r="C146" s="0" t="n">
        <v>1</v>
      </c>
      <c r="D146" s="0" t="n">
        <v>1.3</v>
      </c>
      <c r="E146" s="0" t="n">
        <v>40</v>
      </c>
    </row>
    <row r="148" customFormat="false" ht="14.4" hidden="false" customHeight="false" outlineLevel="0" collapsed="false">
      <c r="A148" s="144" t="s">
        <v>141</v>
      </c>
      <c r="B148" s="144" t="s">
        <v>138</v>
      </c>
      <c r="C148" s="144" t="s">
        <v>140</v>
      </c>
      <c r="D148" s="144" t="s">
        <v>142</v>
      </c>
      <c r="E148" s="144" t="s">
        <v>419</v>
      </c>
    </row>
    <row r="149" customFormat="false" ht="14.4" hidden="false" customHeight="false" outlineLevel="0" collapsed="false">
      <c r="A149" s="0" t="s">
        <v>2602</v>
      </c>
      <c r="B149" s="0" t="n">
        <v>0.8</v>
      </c>
      <c r="C149" s="0" t="n">
        <v>1</v>
      </c>
      <c r="D149" s="0" t="n">
        <v>1.3</v>
      </c>
      <c r="E149" s="0" t="n">
        <v>30</v>
      </c>
    </row>
    <row r="150" customFormat="false" ht="14.4" hidden="false" customHeight="false" outlineLevel="0" collapsed="false">
      <c r="A150" s="0" t="s">
        <v>2885</v>
      </c>
      <c r="B150" s="0" t="n">
        <v>0.8</v>
      </c>
      <c r="C150" s="0" t="n">
        <v>1</v>
      </c>
      <c r="D150" s="0" t="n">
        <v>1.3</v>
      </c>
      <c r="E150" s="0" t="n">
        <v>20</v>
      </c>
    </row>
    <row r="151" customFormat="false" ht="14.4" hidden="false" customHeight="false" outlineLevel="0" collapsed="false">
      <c r="A151" s="0" t="s">
        <v>2884</v>
      </c>
      <c r="B151" s="0" t="n">
        <v>0.8</v>
      </c>
      <c r="C151" s="0" t="n">
        <v>1</v>
      </c>
      <c r="D151" s="0" t="n">
        <v>1.3</v>
      </c>
      <c r="E151" s="0" t="n">
        <v>40</v>
      </c>
    </row>
    <row r="153" customFormat="false" ht="14.4" hidden="false" customHeight="false" outlineLevel="0" collapsed="false">
      <c r="A153" s="144" t="s">
        <v>141</v>
      </c>
      <c r="B153" s="144" t="s">
        <v>138</v>
      </c>
      <c r="C153" s="144" t="s">
        <v>140</v>
      </c>
      <c r="D153" s="144" t="s">
        <v>142</v>
      </c>
    </row>
    <row r="154" customFormat="false" ht="14.4" hidden="false" customHeight="false" outlineLevel="0" collapsed="false">
      <c r="A154" s="0" t="s">
        <v>2583</v>
      </c>
      <c r="B154" s="0" t="n">
        <v>1</v>
      </c>
      <c r="C154" s="0" t="n">
        <v>1</v>
      </c>
      <c r="D154" s="0" t="n">
        <v>1</v>
      </c>
    </row>
    <row r="156" customFormat="false" ht="14.4" hidden="false" customHeight="false" outlineLevel="0" collapsed="false">
      <c r="A156" s="144" t="s">
        <v>96</v>
      </c>
      <c r="B156" s="144" t="s">
        <v>284</v>
      </c>
      <c r="C156" s="144" t="s">
        <v>2886</v>
      </c>
    </row>
    <row r="157" customFormat="false" ht="14.4" hidden="false" customHeight="false" outlineLevel="0" collapsed="false">
      <c r="A157" s="0" t="s">
        <v>74</v>
      </c>
      <c r="B157" s="0" t="n">
        <v>0.01</v>
      </c>
      <c r="C157" s="0" t="n">
        <v>0.26</v>
      </c>
    </row>
    <row r="158" customFormat="false" ht="14.4" hidden="false" customHeight="false" outlineLevel="0" collapsed="false">
      <c r="A158" s="0" t="s">
        <v>121</v>
      </c>
      <c r="B158" s="0" t="n">
        <v>0.03</v>
      </c>
      <c r="C158" s="0" t="n">
        <v>0.28</v>
      </c>
    </row>
    <row r="159" customFormat="false" ht="14.4" hidden="false" customHeight="false" outlineLevel="0" collapsed="false">
      <c r="A159" s="0" t="s">
        <v>394</v>
      </c>
      <c r="B159" s="0" t="n">
        <v>0.08</v>
      </c>
      <c r="C159" s="0" t="n">
        <v>0.3</v>
      </c>
    </row>
    <row r="160" customFormat="false" ht="14.4" hidden="false" customHeight="false" outlineLevel="0" collapsed="false">
      <c r="A160" s="0" t="s">
        <v>114</v>
      </c>
      <c r="B160" s="0" t="n">
        <v>0.5</v>
      </c>
      <c r="C160" s="0" t="n">
        <v>0</v>
      </c>
    </row>
    <row r="161" customFormat="false" ht="14.4" hidden="false" customHeight="false" outlineLevel="0" collapsed="false">
      <c r="A161" s="0" t="s">
        <v>2123</v>
      </c>
      <c r="B161" s="0" t="n">
        <v>0</v>
      </c>
      <c r="C161" s="0" t="n">
        <v>0</v>
      </c>
    </row>
    <row r="162" customFormat="false" ht="14.4" hidden="false" customHeight="false" outlineLevel="0" collapsed="false">
      <c r="A162" s="0" t="s">
        <v>242</v>
      </c>
      <c r="B162" s="0" t="n">
        <v>0</v>
      </c>
      <c r="C162" s="0" t="n">
        <v>0</v>
      </c>
    </row>
    <row r="163" customFormat="false" ht="14.4" hidden="false" customHeight="false" outlineLevel="0" collapsed="false">
      <c r="A163" s="0" t="s">
        <v>325</v>
      </c>
      <c r="B163" s="0" t="n">
        <v>0</v>
      </c>
      <c r="C163" s="0" t="n">
        <v>0</v>
      </c>
    </row>
    <row r="165" customFormat="false" ht="14.4" hidden="false" customHeight="false" outlineLevel="0" collapsed="false">
      <c r="A165" s="196" t="s">
        <v>96</v>
      </c>
      <c r="B165" s="196" t="s">
        <v>141</v>
      </c>
      <c r="C165" s="196" t="s">
        <v>2887</v>
      </c>
      <c r="D165" s="196" t="s">
        <v>130</v>
      </c>
    </row>
    <row r="166" customFormat="false" ht="14.4" hidden="false" customHeight="false" outlineLevel="0" collapsed="false">
      <c r="A166" s="161" t="s">
        <v>74</v>
      </c>
      <c r="B166" s="161" t="s">
        <v>2612</v>
      </c>
      <c r="C166" s="161" t="n">
        <v>0.01</v>
      </c>
      <c r="D166" s="161" t="n">
        <v>0.6</v>
      </c>
    </row>
    <row r="167" customFormat="false" ht="14.4" hidden="false" customHeight="false" outlineLevel="0" collapsed="false">
      <c r="A167" s="161" t="s">
        <v>121</v>
      </c>
      <c r="B167" s="197" t="s">
        <v>2612</v>
      </c>
      <c r="C167" s="161" t="n">
        <v>0.03</v>
      </c>
      <c r="D167" s="161" t="n">
        <v>0.6</v>
      </c>
    </row>
    <row r="168" customFormat="false" ht="14.4" hidden="false" customHeight="false" outlineLevel="0" collapsed="false">
      <c r="A168" s="161" t="s">
        <v>121</v>
      </c>
      <c r="B168" s="161" t="s">
        <v>2765</v>
      </c>
      <c r="C168" s="161" t="n">
        <v>0.03</v>
      </c>
      <c r="D168" s="161" t="n">
        <v>0.6</v>
      </c>
    </row>
    <row r="169" customFormat="false" ht="14.4" hidden="false" customHeight="false" outlineLevel="0" collapsed="false">
      <c r="A169" s="161" t="s">
        <v>121</v>
      </c>
      <c r="B169" s="161" t="s">
        <v>2768</v>
      </c>
      <c r="C169" s="161" t="n">
        <v>0.03</v>
      </c>
      <c r="D169" s="161" t="n">
        <v>0.6</v>
      </c>
    </row>
    <row r="170" customFormat="false" ht="14.4" hidden="false" customHeight="false" outlineLevel="0" collapsed="false">
      <c r="A170" s="161" t="s">
        <v>394</v>
      </c>
      <c r="B170" s="161" t="s">
        <v>2612</v>
      </c>
      <c r="C170" s="161" t="n">
        <v>0.08</v>
      </c>
      <c r="D170" s="161" t="n">
        <v>0.6</v>
      </c>
    </row>
    <row r="171" customFormat="false" ht="14.4" hidden="false" customHeight="false" outlineLevel="0" collapsed="false">
      <c r="A171" s="161" t="s">
        <v>394</v>
      </c>
      <c r="B171" s="161" t="s">
        <v>2765</v>
      </c>
      <c r="C171" s="161" t="n">
        <v>0.08</v>
      </c>
      <c r="D171" s="161" t="n">
        <v>0.6</v>
      </c>
    </row>
    <row r="172" customFormat="false" ht="14.4" hidden="false" customHeight="false" outlineLevel="0" collapsed="false">
      <c r="A172" s="161" t="s">
        <v>114</v>
      </c>
      <c r="B172" s="161" t="s">
        <v>2612</v>
      </c>
      <c r="C172" s="161" t="n">
        <v>0.5</v>
      </c>
      <c r="D172" s="161" t="n">
        <v>0.6</v>
      </c>
    </row>
    <row r="173" customFormat="false" ht="14.4" hidden="false" customHeight="false" outlineLevel="0" collapsed="false">
      <c r="A173" s="161" t="s">
        <v>114</v>
      </c>
      <c r="B173" s="161" t="s">
        <v>2881</v>
      </c>
      <c r="C173" s="161" t="n">
        <v>0.3</v>
      </c>
      <c r="D173" s="161" t="n">
        <v>1.2</v>
      </c>
    </row>
    <row r="174" customFormat="false" ht="14.4" hidden="false" customHeight="false" outlineLevel="0" collapsed="false">
      <c r="A174" s="161" t="s">
        <v>114</v>
      </c>
      <c r="B174" s="161" t="s">
        <v>2882</v>
      </c>
      <c r="C174" s="161" t="n">
        <v>0.3</v>
      </c>
      <c r="D174" s="161" t="n">
        <v>1.2</v>
      </c>
    </row>
    <row r="176" customFormat="false" ht="14.4" hidden="false" customHeight="false" outlineLevel="0" collapsed="false">
      <c r="A176" s="144" t="s">
        <v>97</v>
      </c>
      <c r="B176" s="144" t="s">
        <v>45</v>
      </c>
      <c r="C176" s="144" t="s">
        <v>98</v>
      </c>
      <c r="D176" s="144" t="s">
        <v>50</v>
      </c>
      <c r="E176" s="144" t="s">
        <v>99</v>
      </c>
      <c r="F176" s="144" t="s">
        <v>262</v>
      </c>
      <c r="G176" s="144" t="s">
        <v>100</v>
      </c>
      <c r="H176" s="144" t="s">
        <v>46</v>
      </c>
      <c r="I176" s="144" t="s">
        <v>101</v>
      </c>
      <c r="J176" s="144" t="s">
        <v>419</v>
      </c>
      <c r="K176" s="144" t="s">
        <v>2888</v>
      </c>
      <c r="L176" s="144" t="s">
        <v>2889</v>
      </c>
      <c r="M176" s="144" t="s">
        <v>2890</v>
      </c>
      <c r="N176" s="144" t="s">
        <v>2891</v>
      </c>
      <c r="O176" s="144" t="s">
        <v>52</v>
      </c>
      <c r="P176" s="144" t="s">
        <v>2892</v>
      </c>
      <c r="Q176" s="144" t="s">
        <v>2893</v>
      </c>
      <c r="R176" s="144" t="s">
        <v>105</v>
      </c>
    </row>
    <row r="177" customFormat="false" ht="14.4" hidden="false" customHeight="false" outlineLevel="0" collapsed="false">
      <c r="A177" s="0" t="s">
        <v>2894</v>
      </c>
      <c r="B177" s="0" t="n">
        <v>0</v>
      </c>
      <c r="C177" s="0" t="n">
        <v>0</v>
      </c>
      <c r="D177" s="0" t="n">
        <v>0</v>
      </c>
      <c r="E177" s="0" t="n">
        <v>0</v>
      </c>
      <c r="F177" s="0" t="n">
        <v>70</v>
      </c>
      <c r="G177" s="0" t="n">
        <v>0</v>
      </c>
      <c r="H177" s="0" t="n">
        <v>0</v>
      </c>
      <c r="I177" s="0" t="n">
        <v>0</v>
      </c>
      <c r="J177" s="0" t="n">
        <v>0</v>
      </c>
      <c r="K177" s="0" t="n">
        <v>0</v>
      </c>
      <c r="L177" s="0" t="n">
        <v>0</v>
      </c>
      <c r="M177" s="0" t="n">
        <v>0</v>
      </c>
      <c r="O177" s="0" t="n">
        <v>0</v>
      </c>
      <c r="P177" s="0" t="n">
        <v>0</v>
      </c>
      <c r="Q177" s="0" t="n">
        <v>0</v>
      </c>
    </row>
    <row r="178" customFormat="false" ht="14.4" hidden="false" customHeight="false" outlineLevel="0" collapsed="false">
      <c r="A178" s="0" t="s">
        <v>2895</v>
      </c>
      <c r="B178" s="0" t="n">
        <v>0</v>
      </c>
      <c r="C178" s="0" t="n">
        <v>0</v>
      </c>
      <c r="D178" s="0" t="n">
        <v>0</v>
      </c>
      <c r="E178" s="0" t="n">
        <v>0</v>
      </c>
      <c r="F178" s="0" t="n">
        <v>0</v>
      </c>
      <c r="G178" s="0" t="n">
        <v>0</v>
      </c>
      <c r="H178" s="0" t="n">
        <v>0</v>
      </c>
      <c r="I178" s="0" t="n">
        <v>35</v>
      </c>
      <c r="J178" s="0" t="n">
        <v>0</v>
      </c>
      <c r="K178" s="0" t="n">
        <v>0</v>
      </c>
      <c r="L178" s="0" t="n">
        <v>0</v>
      </c>
      <c r="M178" s="0" t="n">
        <v>0</v>
      </c>
      <c r="O178" s="0" t="n">
        <v>0</v>
      </c>
      <c r="P178" s="0" t="n">
        <v>0</v>
      </c>
      <c r="Q178" s="0" t="n">
        <v>0</v>
      </c>
    </row>
    <row r="179" customFormat="false" ht="14.4" hidden="false" customHeight="false" outlineLevel="0" collapsed="false">
      <c r="A179" s="0" t="s">
        <v>2896</v>
      </c>
      <c r="B179" s="0" t="n">
        <v>0</v>
      </c>
      <c r="C179" s="0" t="n">
        <v>0</v>
      </c>
      <c r="D179" s="0" t="n">
        <v>70</v>
      </c>
      <c r="E179" s="0" t="n">
        <v>0</v>
      </c>
      <c r="F179" s="0" t="n">
        <v>0</v>
      </c>
      <c r="G179" s="0" t="n">
        <v>0</v>
      </c>
      <c r="H179" s="0" t="n">
        <v>0</v>
      </c>
      <c r="I179" s="0" t="n">
        <v>0</v>
      </c>
      <c r="J179" s="0" t="n">
        <v>0</v>
      </c>
      <c r="K179" s="0" t="n">
        <v>0</v>
      </c>
      <c r="L179" s="0" t="n">
        <v>0</v>
      </c>
      <c r="M179" s="0" t="n">
        <v>0</v>
      </c>
      <c r="O179" s="0" t="n">
        <v>0</v>
      </c>
      <c r="P179" s="0" t="n">
        <v>0</v>
      </c>
      <c r="Q179" s="0" t="n">
        <v>0</v>
      </c>
    </row>
    <row r="180" customFormat="false" ht="14.4" hidden="false" customHeight="false" outlineLevel="0" collapsed="false">
      <c r="A180" s="0" t="s">
        <v>2897</v>
      </c>
      <c r="B180" s="0" t="n">
        <v>0</v>
      </c>
      <c r="C180" s="0" t="n">
        <v>7</v>
      </c>
      <c r="D180" s="0" t="n">
        <v>0</v>
      </c>
      <c r="E180" s="0" t="n">
        <v>0</v>
      </c>
      <c r="F180" s="0" t="n">
        <v>0</v>
      </c>
      <c r="G180" s="0" t="n">
        <v>35</v>
      </c>
      <c r="H180" s="0" t="n">
        <v>0</v>
      </c>
      <c r="I180" s="0" t="n">
        <v>0</v>
      </c>
      <c r="J180" s="0" t="n">
        <v>0</v>
      </c>
      <c r="K180" s="0" t="n">
        <v>0</v>
      </c>
      <c r="L180" s="0" t="n">
        <v>0</v>
      </c>
      <c r="M180" s="0" t="n">
        <v>0</v>
      </c>
      <c r="O180" s="0" t="n">
        <v>0</v>
      </c>
      <c r="P180" s="0" t="n">
        <v>0</v>
      </c>
      <c r="Q180" s="0" t="n">
        <v>0</v>
      </c>
    </row>
    <row r="181" customFormat="false" ht="14.4" hidden="false" customHeight="false" outlineLevel="0" collapsed="false">
      <c r="A181" s="0" t="s">
        <v>2898</v>
      </c>
      <c r="B181" s="0" t="n">
        <v>60</v>
      </c>
      <c r="F181" s="0" t="n">
        <v>70</v>
      </c>
    </row>
    <row r="182" customFormat="false" ht="14.4" hidden="false" customHeight="false" outlineLevel="0" collapsed="false">
      <c r="A182" s="0" t="s">
        <v>2899</v>
      </c>
      <c r="R182" s="0" t="n">
        <v>24</v>
      </c>
    </row>
    <row r="183" customFormat="false" ht="14.4" hidden="false" customHeight="false" outlineLevel="0" collapsed="false">
      <c r="A183" s="0" t="s">
        <v>2900</v>
      </c>
      <c r="C183" s="0" t="n">
        <v>21</v>
      </c>
      <c r="I183" s="0" t="n">
        <v>24</v>
      </c>
    </row>
    <row r="184" customFormat="false" ht="14.4" hidden="false" customHeight="false" outlineLevel="0" collapsed="false">
      <c r="A184" s="0" t="s">
        <v>2901</v>
      </c>
      <c r="I184" s="0" t="n">
        <v>35</v>
      </c>
      <c r="J184" s="0" t="n">
        <v>8</v>
      </c>
    </row>
    <row r="185" customFormat="false" ht="14.4" hidden="false" customHeight="false" outlineLevel="0" collapsed="false">
      <c r="A185" s="0" t="s">
        <v>373</v>
      </c>
      <c r="D185" s="0" t="n">
        <v>100</v>
      </c>
    </row>
    <row r="186" customFormat="false" ht="14.4" hidden="false" customHeight="false" outlineLevel="0" collapsed="false">
      <c r="A186" s="0" t="s">
        <v>133</v>
      </c>
      <c r="C186" s="0" t="n">
        <v>30</v>
      </c>
      <c r="I186" s="0" t="n">
        <v>36</v>
      </c>
      <c r="N186" s="0" t="s">
        <v>2902</v>
      </c>
    </row>
    <row r="187" customFormat="false" ht="14.4" hidden="false" customHeight="false" outlineLevel="0" collapsed="false">
      <c r="A187" s="0" t="s">
        <v>2903</v>
      </c>
      <c r="F187" s="0" t="n">
        <v>60</v>
      </c>
      <c r="M187" s="0" t="n">
        <v>0.04</v>
      </c>
    </row>
    <row r="188" customFormat="false" ht="14.4" hidden="false" customHeight="false" outlineLevel="0" collapsed="false">
      <c r="A188" s="0" t="s">
        <v>2904</v>
      </c>
      <c r="C188" s="0" t="n">
        <v>5</v>
      </c>
      <c r="G188" s="0" t="n">
        <v>17</v>
      </c>
    </row>
    <row r="189" customFormat="false" ht="14.4" hidden="false" customHeight="false" outlineLevel="0" collapsed="false">
      <c r="A189" s="0" t="s">
        <v>2905</v>
      </c>
      <c r="H189" s="0" t="n">
        <v>15</v>
      </c>
      <c r="I189" s="0" t="n">
        <v>25</v>
      </c>
    </row>
    <row r="190" customFormat="false" ht="14.4" hidden="false" customHeight="false" outlineLevel="0" collapsed="false">
      <c r="A190" s="0" t="s">
        <v>39</v>
      </c>
      <c r="H190" s="0" t="n">
        <v>15</v>
      </c>
      <c r="I190" s="0" t="n">
        <v>35</v>
      </c>
    </row>
    <row r="191" customFormat="false" ht="14.4" hidden="false" customHeight="false" outlineLevel="0" collapsed="false">
      <c r="A191" s="0" t="s">
        <v>256</v>
      </c>
      <c r="B191" s="0" t="n">
        <v>75</v>
      </c>
      <c r="F191" s="0" t="n">
        <v>100</v>
      </c>
    </row>
    <row r="192" customFormat="false" ht="14.4" hidden="false" customHeight="false" outlineLevel="0" collapsed="false">
      <c r="A192" s="0" t="s">
        <v>2883</v>
      </c>
      <c r="C192" s="0" t="n">
        <v>70</v>
      </c>
      <c r="L192" s="0" t="n">
        <v>0.08</v>
      </c>
    </row>
    <row r="193" customFormat="false" ht="14.4" hidden="false" customHeight="false" outlineLevel="0" collapsed="false">
      <c r="A193" s="0" t="s">
        <v>134</v>
      </c>
      <c r="C193" s="0" t="n">
        <v>55</v>
      </c>
      <c r="I193" s="0" t="n">
        <v>15</v>
      </c>
      <c r="K193" s="0" t="n">
        <v>0.25</v>
      </c>
    </row>
    <row r="194" customFormat="false" ht="14.4" hidden="false" customHeight="false" outlineLevel="0" collapsed="false">
      <c r="A194" s="0" t="s">
        <v>331</v>
      </c>
      <c r="E194" s="0" t="n">
        <v>100</v>
      </c>
      <c r="G194" s="0" t="n">
        <v>10</v>
      </c>
    </row>
    <row r="195" customFormat="false" ht="14.4" hidden="false" customHeight="false" outlineLevel="0" collapsed="false">
      <c r="A195" s="0" t="s">
        <v>2906</v>
      </c>
      <c r="D195" s="0" t="n">
        <v>55</v>
      </c>
      <c r="I195" s="0" t="n">
        <v>10</v>
      </c>
    </row>
    <row r="196" customFormat="false" ht="14.4" hidden="false" customHeight="false" outlineLevel="0" collapsed="false">
      <c r="A196" s="0" t="s">
        <v>2907</v>
      </c>
      <c r="C196" s="0" t="n">
        <v>32</v>
      </c>
      <c r="N196" s="0" t="s">
        <v>2908</v>
      </c>
    </row>
    <row r="197" customFormat="false" ht="14.4" hidden="false" customHeight="false" outlineLevel="0" collapsed="false">
      <c r="A197" s="0" t="s">
        <v>2909</v>
      </c>
      <c r="H197" s="0" t="n">
        <v>15</v>
      </c>
      <c r="I197" s="0" t="n">
        <v>10</v>
      </c>
      <c r="L197" s="0" t="n">
        <v>0.05</v>
      </c>
      <c r="O197" s="0" t="n">
        <v>5</v>
      </c>
      <c r="P197" s="0" t="n">
        <v>0.05</v>
      </c>
      <c r="Q197" s="0" t="n">
        <v>0.05</v>
      </c>
    </row>
    <row r="198" customFormat="false" ht="14.4" hidden="false" customHeight="false" outlineLevel="0" collapsed="false">
      <c r="A198" s="0" t="s">
        <v>2910</v>
      </c>
      <c r="B198" s="0" t="n">
        <v>520</v>
      </c>
    </row>
    <row r="199" customFormat="false" ht="14.4" hidden="false" customHeight="false" outlineLevel="0" collapsed="false">
      <c r="A199" s="0" t="s">
        <v>54</v>
      </c>
      <c r="B199" s="0" t="n">
        <v>650</v>
      </c>
      <c r="N199" s="0" t="s">
        <v>2911</v>
      </c>
    </row>
    <row r="200" customFormat="false" ht="14.4" hidden="false" customHeight="false" outlineLevel="0" collapsed="false">
      <c r="A200" s="0" t="s">
        <v>499</v>
      </c>
      <c r="B200" s="0" t="n">
        <v>550</v>
      </c>
      <c r="N200" s="0" t="s">
        <v>2912</v>
      </c>
    </row>
    <row r="201" customFormat="false" ht="14.4" hidden="false" customHeight="false" outlineLevel="0" collapsed="false">
      <c r="A201" s="0" t="s">
        <v>2913</v>
      </c>
      <c r="H201" s="0" t="n">
        <v>15</v>
      </c>
      <c r="I201" s="0" t="n">
        <v>25</v>
      </c>
      <c r="N201" s="0" t="s">
        <v>2914</v>
      </c>
    </row>
    <row r="202" customFormat="false" ht="14.4" hidden="false" customHeight="false" outlineLevel="0" collapsed="false">
      <c r="A202" s="0" t="s">
        <v>2915</v>
      </c>
      <c r="B202" s="0" t="n">
        <v>180</v>
      </c>
      <c r="C202" s="0" t="n">
        <v>20</v>
      </c>
      <c r="N202" s="0" t="s">
        <v>2916</v>
      </c>
    </row>
    <row r="203" customFormat="false" ht="14.4" hidden="false" customHeight="false" outlineLevel="0" collapsed="false">
      <c r="A203" s="0" t="s">
        <v>2741</v>
      </c>
      <c r="I203" s="0" t="n">
        <v>35</v>
      </c>
      <c r="N203" s="0" t="s">
        <v>2917</v>
      </c>
      <c r="R203" s="0" t="n">
        <v>30</v>
      </c>
    </row>
    <row r="204" customFormat="false" ht="14.4" hidden="false" customHeight="false" outlineLevel="0" collapsed="false">
      <c r="A204" s="0" t="s">
        <v>2070</v>
      </c>
      <c r="E204" s="0" t="n">
        <v>70</v>
      </c>
      <c r="I204" s="0" t="n">
        <v>15</v>
      </c>
      <c r="N204" s="0" t="s">
        <v>2918</v>
      </c>
    </row>
    <row r="205" customFormat="false" ht="14.4" hidden="false" customHeight="false" outlineLevel="0" collapsed="false">
      <c r="A205" s="0" t="s">
        <v>2919</v>
      </c>
      <c r="B205" s="0" t="n">
        <v>0</v>
      </c>
      <c r="C205" s="0" t="n">
        <v>0</v>
      </c>
      <c r="D205" s="0" t="n">
        <v>0</v>
      </c>
      <c r="E205" s="0" t="n">
        <v>0</v>
      </c>
      <c r="F205" s="0" t="n">
        <v>0</v>
      </c>
      <c r="G205" s="0" t="n">
        <v>0</v>
      </c>
      <c r="H205" s="0" t="n">
        <v>0</v>
      </c>
      <c r="I205" s="0" t="n">
        <v>0</v>
      </c>
      <c r="J205" s="0" t="n">
        <v>0</v>
      </c>
      <c r="N205" s="0" t="s">
        <v>2920</v>
      </c>
      <c r="R205" s="0" t="n">
        <v>45</v>
      </c>
    </row>
    <row r="207" customFormat="false" ht="14.4" hidden="false" customHeight="false" outlineLevel="0" collapsed="false">
      <c r="A207" s="144" t="s">
        <v>97</v>
      </c>
      <c r="B207" s="144" t="s">
        <v>45</v>
      </c>
      <c r="C207" s="144" t="s">
        <v>98</v>
      </c>
      <c r="D207" s="144" t="s">
        <v>50</v>
      </c>
      <c r="E207" s="144" t="s">
        <v>99</v>
      </c>
      <c r="F207" s="144" t="s">
        <v>262</v>
      </c>
      <c r="G207" s="144" t="s">
        <v>100</v>
      </c>
      <c r="H207" s="144" t="s">
        <v>46</v>
      </c>
      <c r="I207" s="144" t="s">
        <v>101</v>
      </c>
      <c r="J207" s="144" t="s">
        <v>419</v>
      </c>
      <c r="K207" s="144" t="s">
        <v>335</v>
      </c>
      <c r="L207" s="144" t="s">
        <v>52</v>
      </c>
      <c r="M207" s="144" t="s">
        <v>2921</v>
      </c>
      <c r="N207" s="144" t="s">
        <v>2922</v>
      </c>
      <c r="O207" s="144" t="s">
        <v>105</v>
      </c>
    </row>
    <row r="208" customFormat="false" ht="14.4" hidden="false" customHeight="false" outlineLevel="0" collapsed="false">
      <c r="A208" s="0" t="s">
        <v>2923</v>
      </c>
      <c r="B208" s="0" t="n">
        <v>350</v>
      </c>
    </row>
    <row r="209" customFormat="false" ht="14.4" hidden="false" customHeight="false" outlineLevel="0" collapsed="false">
      <c r="A209" s="0" t="s">
        <v>2924</v>
      </c>
      <c r="B209" s="0" t="n">
        <v>75</v>
      </c>
      <c r="H209" s="0" t="n">
        <v>35</v>
      </c>
    </row>
    <row r="210" customFormat="false" ht="14.4" hidden="false" customHeight="false" outlineLevel="0" collapsed="false">
      <c r="A210" s="0" t="s">
        <v>2925</v>
      </c>
      <c r="B210" s="0" t="n">
        <v>500</v>
      </c>
    </row>
    <row r="211" customFormat="false" ht="14.4" hidden="false" customHeight="false" outlineLevel="0" collapsed="false">
      <c r="A211" s="0" t="s">
        <v>2898</v>
      </c>
      <c r="B211" s="0" t="n">
        <v>60</v>
      </c>
      <c r="F211" s="0" t="n">
        <v>70</v>
      </c>
    </row>
    <row r="212" customFormat="false" ht="14.4" hidden="false" customHeight="false" outlineLevel="0" collapsed="false">
      <c r="A212" s="0" t="s">
        <v>2926</v>
      </c>
      <c r="B212" s="0" t="n">
        <v>266</v>
      </c>
    </row>
    <row r="213" customFormat="false" ht="14.4" hidden="false" customHeight="false" outlineLevel="0" collapsed="false">
      <c r="A213" s="0" t="s">
        <v>34</v>
      </c>
      <c r="B213" s="0" t="n">
        <v>350</v>
      </c>
      <c r="H213" s="0" t="n">
        <v>5</v>
      </c>
    </row>
    <row r="214" customFormat="false" ht="14.4" hidden="false" customHeight="false" outlineLevel="0" collapsed="false">
      <c r="A214" s="0" t="s">
        <v>2927</v>
      </c>
      <c r="B214" s="0" t="n">
        <v>300</v>
      </c>
    </row>
    <row r="215" customFormat="false" ht="14.4" hidden="false" customHeight="false" outlineLevel="0" collapsed="false">
      <c r="A215" s="0" t="s">
        <v>2928</v>
      </c>
      <c r="B215" s="0" t="n">
        <v>245</v>
      </c>
      <c r="J215" s="0" t="n">
        <v>8</v>
      </c>
    </row>
    <row r="216" customFormat="false" ht="14.4" hidden="false" customHeight="false" outlineLevel="0" collapsed="false">
      <c r="A216" s="0" t="s">
        <v>2929</v>
      </c>
      <c r="B216" s="0" t="n">
        <v>245</v>
      </c>
      <c r="J216" s="0" t="n">
        <v>8</v>
      </c>
    </row>
    <row r="217" customFormat="false" ht="14.4" hidden="false" customHeight="false" outlineLevel="0" collapsed="false">
      <c r="A217" s="0" t="s">
        <v>2930</v>
      </c>
      <c r="B217" s="0" t="n">
        <v>44</v>
      </c>
      <c r="H217" s="0" t="n">
        <v>17</v>
      </c>
    </row>
    <row r="218" customFormat="false" ht="14.4" hidden="false" customHeight="false" outlineLevel="0" collapsed="false">
      <c r="A218" s="0" t="s">
        <v>2931</v>
      </c>
      <c r="B218" s="0" t="n">
        <v>120</v>
      </c>
      <c r="H218" s="0" t="n">
        <v>15</v>
      </c>
    </row>
    <row r="219" customFormat="false" ht="14.4" hidden="false" customHeight="false" outlineLevel="0" collapsed="false">
      <c r="A219" s="0" t="s">
        <v>2932</v>
      </c>
      <c r="K219" s="0" t="n">
        <v>45</v>
      </c>
    </row>
    <row r="220" customFormat="false" ht="14.4" hidden="false" customHeight="false" outlineLevel="0" collapsed="false">
      <c r="A220" s="0" t="s">
        <v>2933</v>
      </c>
      <c r="B220" s="0" t="n">
        <v>500</v>
      </c>
    </row>
    <row r="221" customFormat="false" ht="14.4" hidden="false" customHeight="false" outlineLevel="0" collapsed="false">
      <c r="A221" s="0" t="s">
        <v>2934</v>
      </c>
      <c r="B221" s="0" t="n">
        <v>60</v>
      </c>
      <c r="H221" s="0" t="n">
        <v>40</v>
      </c>
    </row>
    <row r="222" customFormat="false" ht="14.4" hidden="false" customHeight="false" outlineLevel="0" collapsed="false">
      <c r="A222" s="0" t="s">
        <v>2935</v>
      </c>
      <c r="B222" s="0" t="n">
        <v>500</v>
      </c>
      <c r="L222" s="0" t="n">
        <v>2</v>
      </c>
    </row>
    <row r="223" customFormat="false" ht="14.4" hidden="false" customHeight="false" outlineLevel="0" collapsed="false">
      <c r="A223" s="0" t="s">
        <v>2905</v>
      </c>
      <c r="H223" s="0" t="n">
        <v>16</v>
      </c>
      <c r="I223" s="0" t="n">
        <v>25</v>
      </c>
    </row>
    <row r="224" customFormat="false" ht="14.4" hidden="false" customHeight="false" outlineLevel="0" collapsed="false">
      <c r="A224" s="0" t="s">
        <v>36</v>
      </c>
      <c r="B224" s="0" t="n">
        <v>500</v>
      </c>
      <c r="M224" s="115" t="n">
        <f aca="false">0.3/15</f>
        <v>0.02</v>
      </c>
      <c r="N224" s="0" t="s">
        <v>2936</v>
      </c>
    </row>
    <row r="225" customFormat="false" ht="14.4" hidden="false" customHeight="false" outlineLevel="0" collapsed="false">
      <c r="A225" s="0" t="s">
        <v>2937</v>
      </c>
      <c r="K225" s="0" t="n">
        <v>85</v>
      </c>
    </row>
    <row r="226" customFormat="false" ht="14.4" hidden="false" customHeight="false" outlineLevel="0" collapsed="false">
      <c r="A226" s="0" t="s">
        <v>256</v>
      </c>
      <c r="B226" s="0" t="n">
        <v>75</v>
      </c>
      <c r="F226" s="0" t="n">
        <v>100</v>
      </c>
    </row>
    <row r="227" customFormat="false" ht="15" hidden="false" customHeight="true" outlineLevel="0" collapsed="false">
      <c r="A227" s="0" t="s">
        <v>2938</v>
      </c>
      <c r="B227" s="0" t="n">
        <v>44</v>
      </c>
      <c r="H227" s="0" t="n">
        <v>17</v>
      </c>
    </row>
    <row r="228" customFormat="false" ht="15" hidden="false" customHeight="true" outlineLevel="0" collapsed="false">
      <c r="A228" s="0" t="s">
        <v>2939</v>
      </c>
      <c r="B228" s="0" t="n">
        <v>150</v>
      </c>
      <c r="H228" s="0" t="n">
        <v>12</v>
      </c>
    </row>
    <row r="229" customFormat="false" ht="15" hidden="false" customHeight="true" outlineLevel="0" collapsed="false">
      <c r="A229" s="0" t="s">
        <v>2940</v>
      </c>
      <c r="B229" s="0" t="n">
        <v>120</v>
      </c>
      <c r="N229" s="0" t="s">
        <v>2941</v>
      </c>
      <c r="O229" s="0" t="n">
        <v>24</v>
      </c>
    </row>
    <row r="230" customFormat="false" ht="15" hidden="false" customHeight="true" outlineLevel="0" collapsed="false">
      <c r="A230" s="0" t="s">
        <v>2942</v>
      </c>
      <c r="B230" s="0" t="n">
        <v>245</v>
      </c>
      <c r="J230" s="0" t="n">
        <v>8</v>
      </c>
      <c r="N230" s="0" t="s">
        <v>2943</v>
      </c>
    </row>
    <row r="231" customFormat="false" ht="15" hidden="false" customHeight="true" outlineLevel="0" collapsed="false">
      <c r="A231" s="0" t="s">
        <v>2944</v>
      </c>
      <c r="B231" s="0" t="n">
        <v>550</v>
      </c>
      <c r="N231" s="0" t="s">
        <v>2945</v>
      </c>
    </row>
    <row r="232" customFormat="false" ht="15" hidden="false" customHeight="true" outlineLevel="0" collapsed="false">
      <c r="A232" s="0" t="s">
        <v>2946</v>
      </c>
      <c r="B232" s="0" t="n">
        <v>100</v>
      </c>
      <c r="H232" s="0" t="n">
        <v>18</v>
      </c>
      <c r="M232" s="0" t="n">
        <f aca="false">0.3/15</f>
        <v>0.02</v>
      </c>
    </row>
    <row r="233" customFormat="false" ht="15" hidden="false" customHeight="true" outlineLevel="0" collapsed="false">
      <c r="A233" s="0" t="s">
        <v>2915</v>
      </c>
      <c r="B233" s="0" t="n">
        <v>180</v>
      </c>
      <c r="C233" s="0" t="n">
        <v>20</v>
      </c>
      <c r="N233" s="0" t="s">
        <v>2916</v>
      </c>
    </row>
    <row r="234" customFormat="false" ht="15" hidden="false" customHeight="true" outlineLevel="0" collapsed="false">
      <c r="A234" s="0" t="s">
        <v>2947</v>
      </c>
      <c r="B234" s="0" t="n">
        <v>550</v>
      </c>
      <c r="M234" s="0" t="n">
        <f aca="false">0.3/15</f>
        <v>0.02</v>
      </c>
    </row>
    <row r="235" customFormat="false" ht="15" hidden="false" customHeight="true" outlineLevel="0" collapsed="false">
      <c r="A235" s="0" t="s">
        <v>2948</v>
      </c>
      <c r="B235" s="0" t="n">
        <v>750</v>
      </c>
      <c r="M235" s="0" t="n">
        <f aca="false">0.3/15</f>
        <v>0.02</v>
      </c>
    </row>
    <row r="237" customFormat="false" ht="14.4" hidden="false" customHeight="false" outlineLevel="0" collapsed="false">
      <c r="A237" s="144" t="s">
        <v>97</v>
      </c>
      <c r="B237" s="144" t="s">
        <v>262</v>
      </c>
      <c r="C237" s="144" t="s">
        <v>2949</v>
      </c>
      <c r="D237" s="144" t="s">
        <v>2950</v>
      </c>
      <c r="E237" s="144" t="s">
        <v>2951</v>
      </c>
      <c r="F237" s="144" t="s">
        <v>2952</v>
      </c>
      <c r="G237" s="144" t="s">
        <v>2953</v>
      </c>
      <c r="H237" s="144" t="s">
        <v>2954</v>
      </c>
      <c r="I237" s="144" t="s">
        <v>2955</v>
      </c>
      <c r="J237" s="144" t="s">
        <v>2956</v>
      </c>
      <c r="K237" s="144" t="s">
        <v>2957</v>
      </c>
      <c r="L237" s="144" t="s">
        <v>2958</v>
      </c>
      <c r="M237" s="144" t="s">
        <v>150</v>
      </c>
      <c r="N237" s="144" t="s">
        <v>419</v>
      </c>
    </row>
    <row r="238" customFormat="false" ht="14.4" hidden="false" customHeight="false" outlineLevel="0" collapsed="false">
      <c r="A238" s="0" t="s">
        <v>2959</v>
      </c>
      <c r="B238" s="0" t="n">
        <v>45</v>
      </c>
      <c r="C238" s="0" t="s">
        <v>2960</v>
      </c>
      <c r="J238" s="0" t="n">
        <v>1</v>
      </c>
      <c r="M238" s="0" t="n">
        <v>10.38</v>
      </c>
      <c r="N238" s="0" t="n">
        <v>52</v>
      </c>
    </row>
    <row r="239" customFormat="false" ht="14.4" hidden="false" customHeight="false" outlineLevel="0" collapsed="false">
      <c r="A239" s="0" t="s">
        <v>2961</v>
      </c>
      <c r="B239" s="0" t="n">
        <v>12</v>
      </c>
      <c r="C239" s="0" t="s">
        <v>2962</v>
      </c>
      <c r="M239" s="0" t="n">
        <v>10.76</v>
      </c>
      <c r="N239" s="0" t="n">
        <v>48</v>
      </c>
    </row>
    <row r="240" customFormat="false" ht="14.4" hidden="false" customHeight="false" outlineLevel="0" collapsed="false">
      <c r="A240" s="0" t="s">
        <v>2963</v>
      </c>
      <c r="B240" s="0" t="n">
        <v>25</v>
      </c>
      <c r="C240" s="0" t="s">
        <v>2962</v>
      </c>
      <c r="D240" s="0" t="n">
        <v>2</v>
      </c>
      <c r="M240" s="0" t="n">
        <v>10.27</v>
      </c>
      <c r="N240" s="0" t="n">
        <v>52</v>
      </c>
    </row>
    <row r="241" customFormat="false" ht="14.4" hidden="false" customHeight="false" outlineLevel="0" collapsed="false">
      <c r="A241" s="0" t="s">
        <v>2964</v>
      </c>
      <c r="B241" s="0" t="n">
        <v>45</v>
      </c>
      <c r="C241" s="0" t="s">
        <v>2962</v>
      </c>
      <c r="D241" s="0" t="n">
        <v>2</v>
      </c>
      <c r="M241" s="0" t="n">
        <v>9.52</v>
      </c>
      <c r="N241" s="0" t="n">
        <v>55</v>
      </c>
    </row>
    <row r="242" customFormat="false" ht="14.4" hidden="false" customHeight="false" outlineLevel="0" collapsed="false">
      <c r="A242" s="0" t="s">
        <v>2965</v>
      </c>
      <c r="B242" s="0" t="n">
        <v>45</v>
      </c>
      <c r="C242" s="0" t="s">
        <v>2962</v>
      </c>
      <c r="E242" s="0" t="n">
        <v>2</v>
      </c>
      <c r="M242" s="0" t="n">
        <v>10.44</v>
      </c>
      <c r="N242" s="0" t="n">
        <v>60</v>
      </c>
    </row>
    <row r="243" customFormat="false" ht="14.4" hidden="false" customHeight="false" outlineLevel="0" collapsed="false">
      <c r="A243" s="0" t="s">
        <v>2966</v>
      </c>
      <c r="B243" s="0" t="n">
        <v>25</v>
      </c>
      <c r="C243" s="0" t="s">
        <v>2962</v>
      </c>
      <c r="D243" s="0" t="n">
        <v>2</v>
      </c>
      <c r="E243" s="0" t="n">
        <v>1</v>
      </c>
      <c r="M243" s="0" t="n">
        <v>10.93</v>
      </c>
      <c r="N243" s="0" t="n">
        <v>45</v>
      </c>
    </row>
    <row r="244" customFormat="false" ht="14.4" hidden="false" customHeight="false" outlineLevel="0" collapsed="false">
      <c r="A244" s="0" t="s">
        <v>2967</v>
      </c>
      <c r="B244" s="0" t="n">
        <v>25</v>
      </c>
      <c r="C244" s="0" t="s">
        <v>2962</v>
      </c>
      <c r="M244" s="0" t="n">
        <v>10.58</v>
      </c>
      <c r="N244" s="0" t="n">
        <v>50</v>
      </c>
    </row>
    <row r="245" customFormat="false" ht="14.4" hidden="false" customHeight="false" outlineLevel="0" collapsed="false">
      <c r="A245" s="0" t="s">
        <v>2968</v>
      </c>
      <c r="B245" s="0" t="n">
        <v>12</v>
      </c>
      <c r="C245" s="0" t="s">
        <v>2962</v>
      </c>
      <c r="E245" s="0" t="n">
        <v>1</v>
      </c>
      <c r="M245" s="0" t="n">
        <v>11.8</v>
      </c>
      <c r="N245" s="0" t="n">
        <v>45</v>
      </c>
    </row>
    <row r="246" customFormat="false" ht="14.4" hidden="false" customHeight="false" outlineLevel="0" collapsed="false">
      <c r="A246" s="0" t="s">
        <v>2969</v>
      </c>
      <c r="B246" s="0" t="n">
        <v>45</v>
      </c>
      <c r="C246" s="0" t="s">
        <v>2962</v>
      </c>
      <c r="K246" s="0" t="n">
        <v>2</v>
      </c>
      <c r="M246" s="0" t="n">
        <v>11.71</v>
      </c>
      <c r="N246" s="0" t="n">
        <v>45</v>
      </c>
    </row>
    <row r="247" customFormat="false" ht="14.4" hidden="false" customHeight="false" outlineLevel="0" collapsed="false">
      <c r="A247" s="0" t="s">
        <v>2970</v>
      </c>
      <c r="B247" s="0" t="n">
        <v>45</v>
      </c>
      <c r="C247" s="0" t="s">
        <v>2962</v>
      </c>
      <c r="D247" s="0" t="n">
        <v>2</v>
      </c>
      <c r="G247" s="0" t="n">
        <v>1</v>
      </c>
      <c r="M247" s="0" t="n">
        <v>10.44</v>
      </c>
      <c r="N247" s="0" t="n">
        <v>48</v>
      </c>
    </row>
    <row r="248" customFormat="false" ht="14.4" hidden="false" customHeight="false" outlineLevel="0" collapsed="false">
      <c r="A248" s="0" t="s">
        <v>2971</v>
      </c>
      <c r="B248" s="0" t="n">
        <v>12</v>
      </c>
      <c r="C248" s="0" t="s">
        <v>2962</v>
      </c>
      <c r="M248" s="0" t="n">
        <v>11.72</v>
      </c>
      <c r="N248" s="0" t="n">
        <v>45</v>
      </c>
    </row>
    <row r="249" customFormat="false" ht="14.4" hidden="false" customHeight="false" outlineLevel="0" collapsed="false">
      <c r="A249" s="0" t="s">
        <v>2972</v>
      </c>
      <c r="B249" s="0" t="n">
        <v>25</v>
      </c>
      <c r="C249" s="0" t="s">
        <v>2962</v>
      </c>
      <c r="M249" s="0" t="n">
        <v>10.58</v>
      </c>
      <c r="N249" s="0" t="n">
        <v>48</v>
      </c>
    </row>
    <row r="250" customFormat="false" ht="14.4" hidden="false" customHeight="false" outlineLevel="0" collapsed="false">
      <c r="A250" s="0" t="s">
        <v>2973</v>
      </c>
      <c r="B250" s="0" t="n">
        <v>25</v>
      </c>
      <c r="C250" s="0" t="s">
        <v>2962</v>
      </c>
      <c r="E250" s="0" t="n">
        <v>2</v>
      </c>
      <c r="M250" s="0" t="n">
        <v>11.03</v>
      </c>
      <c r="N250" s="0" t="n">
        <v>48</v>
      </c>
    </row>
    <row r="251" customFormat="false" ht="14.4" hidden="false" customHeight="false" outlineLevel="0" collapsed="false">
      <c r="A251" s="0" t="s">
        <v>2974</v>
      </c>
      <c r="B251" s="0" t="n">
        <v>45</v>
      </c>
      <c r="C251" s="0" t="s">
        <v>2962</v>
      </c>
      <c r="E251" s="0" t="n">
        <v>2</v>
      </c>
      <c r="M251" s="0" t="n">
        <v>10.9</v>
      </c>
      <c r="N251" s="0" t="n">
        <v>50</v>
      </c>
    </row>
    <row r="252" customFormat="false" ht="14.4" hidden="false" customHeight="false" outlineLevel="0" collapsed="false">
      <c r="A252" s="0" t="s">
        <v>2975</v>
      </c>
      <c r="B252" s="0" t="n">
        <v>45</v>
      </c>
      <c r="C252" s="0" t="s">
        <v>2960</v>
      </c>
      <c r="G252" s="0" t="n">
        <v>2</v>
      </c>
      <c r="M252" s="0" t="n">
        <v>11.11</v>
      </c>
      <c r="N252" s="0" t="n">
        <v>47</v>
      </c>
    </row>
    <row r="253" customFormat="false" ht="14.4" hidden="false" customHeight="false" outlineLevel="0" collapsed="false">
      <c r="A253" s="0" t="s">
        <v>2976</v>
      </c>
      <c r="B253" s="0" t="n">
        <v>25</v>
      </c>
      <c r="C253" s="0" t="s">
        <v>2962</v>
      </c>
      <c r="D253" s="0" t="n">
        <v>2</v>
      </c>
      <c r="M253" s="0" t="n">
        <v>9.18</v>
      </c>
      <c r="N253" s="0" t="n">
        <v>48</v>
      </c>
    </row>
    <row r="254" customFormat="false" ht="14.4" hidden="false" customHeight="false" outlineLevel="0" collapsed="false">
      <c r="A254" s="0" t="s">
        <v>2977</v>
      </c>
      <c r="B254" s="0" t="n">
        <v>25</v>
      </c>
      <c r="C254" s="0" t="s">
        <v>2962</v>
      </c>
      <c r="D254" s="0" t="n">
        <v>4</v>
      </c>
      <c r="G254" s="0" t="n">
        <v>1</v>
      </c>
      <c r="M254" s="0" t="n">
        <v>11.57</v>
      </c>
      <c r="N254" s="0" t="n">
        <v>46</v>
      </c>
    </row>
    <row r="255" customFormat="false" ht="14.4" hidden="false" customHeight="false" outlineLevel="0" collapsed="false">
      <c r="A255" s="0" t="s">
        <v>2978</v>
      </c>
      <c r="B255" s="0" t="n">
        <v>45</v>
      </c>
      <c r="C255" s="0" t="s">
        <v>2960</v>
      </c>
      <c r="D255" s="0" t="n">
        <v>2</v>
      </c>
      <c r="L255" s="0" t="n">
        <v>1</v>
      </c>
      <c r="M255" s="0" t="n">
        <v>11.71</v>
      </c>
      <c r="N255" s="0" t="n">
        <v>46</v>
      </c>
    </row>
    <row r="256" customFormat="false" ht="14.4" hidden="false" customHeight="false" outlineLevel="0" collapsed="false">
      <c r="A256" s="0" t="s">
        <v>2979</v>
      </c>
      <c r="B256" s="0" t="n">
        <v>45</v>
      </c>
      <c r="C256" s="0" t="s">
        <v>2962</v>
      </c>
      <c r="M256" s="0" t="n">
        <v>9.24</v>
      </c>
      <c r="N256" s="0" t="n">
        <v>50</v>
      </c>
    </row>
    <row r="257" customFormat="false" ht="14.4" hidden="false" customHeight="false" outlineLevel="0" collapsed="false">
      <c r="A257" s="0" t="s">
        <v>2980</v>
      </c>
      <c r="B257" s="0" t="n">
        <v>25</v>
      </c>
      <c r="C257" s="0" t="s">
        <v>2962</v>
      </c>
      <c r="E257" s="0" t="n">
        <v>2</v>
      </c>
      <c r="L257" s="0" t="n">
        <v>1</v>
      </c>
      <c r="M257" s="0" t="n">
        <v>11.88</v>
      </c>
      <c r="N257" s="0" t="n">
        <v>45</v>
      </c>
    </row>
    <row r="258" customFormat="false" ht="14.4" hidden="false" customHeight="false" outlineLevel="0" collapsed="false">
      <c r="A258" s="0" t="s">
        <v>2981</v>
      </c>
      <c r="B258" s="0" t="n">
        <v>12</v>
      </c>
      <c r="C258" s="0" t="s">
        <v>2962</v>
      </c>
      <c r="D258" s="0" t="n">
        <v>2</v>
      </c>
      <c r="L258" s="0" t="n">
        <v>1</v>
      </c>
      <c r="M258" s="0" t="n">
        <v>12.67</v>
      </c>
      <c r="N258" s="0" t="n">
        <v>45</v>
      </c>
    </row>
    <row r="259" customFormat="false" ht="14.4" hidden="false" customHeight="false" outlineLevel="0" collapsed="false">
      <c r="A259" s="0" t="s">
        <v>2982</v>
      </c>
      <c r="B259" s="0" t="n">
        <v>45</v>
      </c>
      <c r="C259" s="0" t="s">
        <v>2960</v>
      </c>
      <c r="E259" s="0" t="n">
        <v>2</v>
      </c>
      <c r="M259" s="0" t="n">
        <v>10.61</v>
      </c>
      <c r="N259" s="0" t="n">
        <v>52</v>
      </c>
    </row>
    <row r="260" customFormat="false" ht="14.4" hidden="false" customHeight="false" outlineLevel="0" collapsed="false">
      <c r="A260" s="0" t="s">
        <v>2983</v>
      </c>
      <c r="B260" s="0" t="n">
        <v>12</v>
      </c>
      <c r="C260" s="0" t="s">
        <v>2962</v>
      </c>
      <c r="M260" s="0" t="n">
        <v>10.64</v>
      </c>
      <c r="N260" s="0" t="n">
        <v>47</v>
      </c>
    </row>
    <row r="261" customFormat="false" ht="14.4" hidden="false" customHeight="false" outlineLevel="0" collapsed="false">
      <c r="A261" s="0" t="s">
        <v>2984</v>
      </c>
      <c r="B261" s="0" t="n">
        <v>45</v>
      </c>
      <c r="C261" s="0" t="s">
        <v>2962</v>
      </c>
      <c r="E261" s="0" t="n">
        <v>2</v>
      </c>
      <c r="M261" s="0" t="n">
        <v>10.6</v>
      </c>
      <c r="N261" s="0" t="n">
        <v>53</v>
      </c>
    </row>
    <row r="262" customFormat="false" ht="14.4" hidden="false" customHeight="false" outlineLevel="0" collapsed="false">
      <c r="A262" s="0" t="s">
        <v>2985</v>
      </c>
      <c r="B262" s="0" t="n">
        <v>25</v>
      </c>
      <c r="C262" s="0" t="s">
        <v>2962</v>
      </c>
      <c r="E262" s="0" t="n">
        <v>1</v>
      </c>
      <c r="M262" s="0" t="n">
        <v>10.85</v>
      </c>
      <c r="N262" s="0" t="n">
        <v>50</v>
      </c>
    </row>
    <row r="263" customFormat="false" ht="14.4" hidden="false" customHeight="false" outlineLevel="0" collapsed="false">
      <c r="A263" s="0" t="s">
        <v>359</v>
      </c>
      <c r="B263" s="0" t="n">
        <v>25</v>
      </c>
      <c r="C263" s="0" t="s">
        <v>2962</v>
      </c>
      <c r="D263" s="0" t="n">
        <v>0</v>
      </c>
      <c r="E263" s="0" t="n">
        <v>0</v>
      </c>
      <c r="F263" s="0" t="n">
        <v>0</v>
      </c>
      <c r="G263" s="0" t="n">
        <v>0</v>
      </c>
      <c r="K263" s="0" t="n">
        <v>1</v>
      </c>
      <c r="L263" s="0" t="n">
        <v>0</v>
      </c>
      <c r="M263" s="0" t="n">
        <v>14.3</v>
      </c>
      <c r="N263" s="0" t="n">
        <v>46</v>
      </c>
    </row>
    <row r="264" customFormat="false" ht="14.4" hidden="false" customHeight="false" outlineLevel="0" collapsed="false">
      <c r="A264" s="0" t="s">
        <v>2986</v>
      </c>
      <c r="B264" s="0" t="n">
        <v>45</v>
      </c>
      <c r="C264" s="0" t="s">
        <v>2960</v>
      </c>
      <c r="M264" s="0" t="n">
        <v>9.44</v>
      </c>
      <c r="N264" s="0" t="n">
        <v>45</v>
      </c>
    </row>
    <row r="265" customFormat="false" ht="14.4" hidden="false" customHeight="false" outlineLevel="0" collapsed="false">
      <c r="A265" s="0" t="s">
        <v>257</v>
      </c>
      <c r="B265" s="0" t="n">
        <v>45</v>
      </c>
      <c r="C265" s="0" t="s">
        <v>2960</v>
      </c>
      <c r="F265" s="0" t="n">
        <v>2</v>
      </c>
      <c r="M265" s="0" t="n">
        <v>10.2</v>
      </c>
      <c r="N265" s="0" t="n">
        <v>49</v>
      </c>
    </row>
    <row r="266" customFormat="false" ht="14.4" hidden="false" customHeight="false" outlineLevel="0" collapsed="false">
      <c r="A266" s="0" t="s">
        <v>2987</v>
      </c>
      <c r="B266" s="0" t="n">
        <v>25</v>
      </c>
      <c r="C266" s="0" t="s">
        <v>2960</v>
      </c>
      <c r="M266" s="0" t="n">
        <v>8.98</v>
      </c>
      <c r="N266" s="0" t="n">
        <v>47</v>
      </c>
    </row>
    <row r="267" customFormat="false" ht="14.4" hidden="false" customHeight="false" outlineLevel="0" collapsed="false">
      <c r="A267" s="0" t="s">
        <v>310</v>
      </c>
      <c r="B267" s="0" t="n">
        <v>25</v>
      </c>
      <c r="C267" s="0" t="s">
        <v>2962</v>
      </c>
      <c r="E267" s="0" t="n">
        <v>1</v>
      </c>
      <c r="M267" s="0" t="n">
        <v>13.97</v>
      </c>
      <c r="N267" s="0" t="n">
        <v>46</v>
      </c>
    </row>
    <row r="268" customFormat="false" ht="14.4" hidden="false" customHeight="false" outlineLevel="0" collapsed="false">
      <c r="A268" s="0" t="s">
        <v>2988</v>
      </c>
      <c r="B268" s="0" t="n">
        <v>45</v>
      </c>
      <c r="C268" s="0" t="s">
        <v>2960</v>
      </c>
      <c r="G268" s="0" t="n">
        <v>0</v>
      </c>
      <c r="I268" s="0" t="n">
        <v>2</v>
      </c>
      <c r="M268" s="0" t="n">
        <v>10.61</v>
      </c>
      <c r="N268" s="0" t="n">
        <v>60</v>
      </c>
    </row>
    <row r="269" customFormat="false" ht="14.4" hidden="false" customHeight="false" outlineLevel="0" collapsed="false">
      <c r="A269" s="0" t="s">
        <v>2989</v>
      </c>
      <c r="B269" s="0" t="n">
        <v>45</v>
      </c>
      <c r="C269" s="0" t="s">
        <v>2960</v>
      </c>
      <c r="E269" s="0" t="n">
        <v>2</v>
      </c>
      <c r="M269" s="0" t="n">
        <v>10.7</v>
      </c>
      <c r="N269" s="0" t="n">
        <v>60</v>
      </c>
    </row>
    <row r="270" customFormat="false" ht="14.4" hidden="false" customHeight="false" outlineLevel="0" collapsed="false">
      <c r="A270" s="0" t="s">
        <v>2990</v>
      </c>
      <c r="B270" s="0" t="n">
        <v>45</v>
      </c>
      <c r="D270" s="0" t="n">
        <v>0</v>
      </c>
      <c r="E270" s="0" t="n">
        <v>2</v>
      </c>
      <c r="F270" s="0" t="n">
        <v>0</v>
      </c>
      <c r="G270" s="0" t="n">
        <v>0</v>
      </c>
      <c r="J270" s="0" t="n">
        <v>0</v>
      </c>
      <c r="K270" s="0" t="n">
        <v>0</v>
      </c>
      <c r="L270" s="0" t="n">
        <v>1</v>
      </c>
      <c r="M270" s="0" t="n">
        <v>11.91</v>
      </c>
    </row>
    <row r="271" customFormat="false" ht="14.4" hidden="false" customHeight="false" outlineLevel="0" collapsed="false">
      <c r="A271" s="0" t="s">
        <v>2991</v>
      </c>
      <c r="B271" s="0" t="n">
        <v>45</v>
      </c>
      <c r="D271" s="0" t="n">
        <v>2</v>
      </c>
      <c r="E271" s="0" t="n">
        <v>0</v>
      </c>
      <c r="F271" s="0" t="n">
        <v>0</v>
      </c>
      <c r="G271" s="0" t="n">
        <v>0</v>
      </c>
      <c r="H271" s="0" t="n">
        <v>1</v>
      </c>
      <c r="J271" s="0" t="n">
        <v>0</v>
      </c>
      <c r="K271" s="0" t="n">
        <v>0</v>
      </c>
      <c r="L271" s="0" t="n">
        <v>0</v>
      </c>
      <c r="M271" s="0" t="n">
        <v>9.98</v>
      </c>
    </row>
    <row r="272" customFormat="false" ht="14.4" hidden="false" customHeight="false" outlineLevel="0" collapsed="false">
      <c r="A272" s="0" t="s">
        <v>2992</v>
      </c>
      <c r="B272" s="0" t="n">
        <v>45</v>
      </c>
      <c r="D272" s="0" t="n">
        <v>2</v>
      </c>
      <c r="E272" s="0" t="n">
        <v>0</v>
      </c>
      <c r="F272" s="0" t="n">
        <v>0</v>
      </c>
      <c r="G272" s="0" t="n">
        <v>1</v>
      </c>
      <c r="H272" s="0" t="n">
        <v>0</v>
      </c>
      <c r="M272" s="0" t="n">
        <v>12.97</v>
      </c>
    </row>
    <row r="273" customFormat="false" ht="14.4" hidden="false" customHeight="false" outlineLevel="0" collapsed="false">
      <c r="A273" s="0" t="s">
        <v>2993</v>
      </c>
      <c r="B273" s="0" t="n">
        <v>45</v>
      </c>
      <c r="E273" s="0" t="n">
        <v>1</v>
      </c>
      <c r="M273" s="0" t="n">
        <v>10.15</v>
      </c>
    </row>
    <row r="274" customFormat="false" ht="14.4" hidden="false" customHeight="false" outlineLevel="0" collapsed="false">
      <c r="A274" s="0" t="s">
        <v>2994</v>
      </c>
      <c r="B274" s="0" t="n">
        <v>45</v>
      </c>
      <c r="H274" s="0" t="n">
        <v>0</v>
      </c>
      <c r="I274" s="0" t="n">
        <v>2</v>
      </c>
      <c r="J274" s="0" t="n">
        <v>0</v>
      </c>
      <c r="M274" s="0" t="n">
        <v>10.77</v>
      </c>
    </row>
    <row r="275" customFormat="false" ht="14.4" hidden="false" customHeight="false" outlineLevel="0" collapsed="false">
      <c r="A275" s="0" t="s">
        <v>2995</v>
      </c>
      <c r="B275" s="0" t="n">
        <v>45</v>
      </c>
      <c r="H275" s="0" t="n">
        <v>1</v>
      </c>
      <c r="I275" s="0" t="n">
        <v>0</v>
      </c>
      <c r="M275" s="0" t="n">
        <v>9.64</v>
      </c>
    </row>
    <row r="277" customFormat="false" ht="14.4" hidden="false" customHeight="false" outlineLevel="0" collapsed="false">
      <c r="A277" s="144" t="s">
        <v>97</v>
      </c>
      <c r="B277" s="144" t="s">
        <v>262</v>
      </c>
      <c r="C277" s="144" t="s">
        <v>2949</v>
      </c>
      <c r="D277" s="144" t="s">
        <v>2621</v>
      </c>
      <c r="E277" s="144" t="s">
        <v>157</v>
      </c>
      <c r="F277" s="144" t="s">
        <v>2996</v>
      </c>
      <c r="G277" s="144" t="s">
        <v>150</v>
      </c>
      <c r="H277" s="144" t="s">
        <v>419</v>
      </c>
    </row>
    <row r="278" customFormat="false" ht="14.4" hidden="false" customHeight="false" outlineLevel="0" collapsed="false">
      <c r="A278" s="0" t="s">
        <v>2997</v>
      </c>
      <c r="B278" s="0" t="n">
        <v>45</v>
      </c>
      <c r="C278" s="0" t="s">
        <v>2960</v>
      </c>
      <c r="D278" s="0" t="n">
        <v>3</v>
      </c>
      <c r="E278" s="0" t="n">
        <v>264</v>
      </c>
      <c r="F278" s="0" t="n">
        <v>3</v>
      </c>
      <c r="G278" s="0" t="n">
        <v>10.97</v>
      </c>
      <c r="H278" s="0" t="n">
        <v>48</v>
      </c>
    </row>
    <row r="279" customFormat="false" ht="14.4" hidden="false" customHeight="false" outlineLevel="0" collapsed="false">
      <c r="A279" s="0" t="s">
        <v>2998</v>
      </c>
      <c r="B279" s="0" t="n">
        <v>45</v>
      </c>
      <c r="C279" s="0" t="s">
        <v>2962</v>
      </c>
      <c r="D279" s="0" t="n">
        <v>3</v>
      </c>
      <c r="E279" s="0" t="n">
        <v>260</v>
      </c>
      <c r="F279" s="0" t="n">
        <v>3</v>
      </c>
      <c r="G279" s="0" t="n">
        <v>11.37</v>
      </c>
      <c r="H279" s="0" t="n">
        <v>52</v>
      </c>
    </row>
    <row r="280" customFormat="false" ht="14.4" hidden="false" customHeight="false" outlineLevel="0" collapsed="false">
      <c r="A280" s="0" t="s">
        <v>2999</v>
      </c>
      <c r="B280" s="0" t="n">
        <v>45</v>
      </c>
      <c r="C280" s="0" t="s">
        <v>2960</v>
      </c>
      <c r="D280" s="0" t="n">
        <v>3</v>
      </c>
      <c r="E280" s="0" t="n">
        <v>288</v>
      </c>
      <c r="F280" s="0" t="n">
        <v>3</v>
      </c>
      <c r="G280" s="0" t="n">
        <v>11.64</v>
      </c>
      <c r="H280" s="0" t="n">
        <v>50</v>
      </c>
    </row>
    <row r="281" customFormat="false" ht="14.4" hidden="false" customHeight="false" outlineLevel="0" collapsed="false">
      <c r="A281" s="0" t="s">
        <v>3000</v>
      </c>
      <c r="B281" s="0" t="n">
        <v>25</v>
      </c>
      <c r="C281" s="0" t="s">
        <v>2962</v>
      </c>
      <c r="D281" s="0" t="n">
        <v>2</v>
      </c>
      <c r="E281" s="0" t="n">
        <v>288</v>
      </c>
      <c r="F281" s="0" t="n">
        <v>2</v>
      </c>
      <c r="G281" s="0" t="n">
        <v>9.98</v>
      </c>
      <c r="H281" s="0" t="n">
        <v>45</v>
      </c>
    </row>
    <row r="282" customFormat="false" ht="14.4" hidden="false" customHeight="false" outlineLevel="0" collapsed="false">
      <c r="A282" s="0" t="s">
        <v>258</v>
      </c>
      <c r="B282" s="0" t="n">
        <v>45</v>
      </c>
      <c r="C282" s="0" t="s">
        <v>2962</v>
      </c>
      <c r="D282" s="0" t="n">
        <v>3</v>
      </c>
      <c r="E282" s="0" t="n">
        <v>288</v>
      </c>
      <c r="F282" s="0" t="n">
        <v>3</v>
      </c>
      <c r="G282" s="0" t="n">
        <v>10.31</v>
      </c>
      <c r="H282" s="0" t="n">
        <v>52</v>
      </c>
    </row>
    <row r="283" customFormat="false" ht="14.4" hidden="false" customHeight="false" outlineLevel="0" collapsed="false">
      <c r="A283" s="0" t="s">
        <v>3001</v>
      </c>
      <c r="B283" s="0" t="n">
        <v>25</v>
      </c>
      <c r="C283" s="0" t="s">
        <v>2962</v>
      </c>
      <c r="D283" s="0" t="n">
        <v>2</v>
      </c>
      <c r="E283" s="0" t="n">
        <v>288</v>
      </c>
      <c r="F283" s="0" t="n">
        <v>2</v>
      </c>
      <c r="G283" s="0" t="n">
        <v>11.97</v>
      </c>
      <c r="H283" s="0" t="n">
        <v>45</v>
      </c>
    </row>
    <row r="284" customFormat="false" ht="14.4" hidden="false" customHeight="false" outlineLevel="0" collapsed="false">
      <c r="A284" s="0" t="s">
        <v>3002</v>
      </c>
      <c r="B284" s="0" t="n">
        <v>12</v>
      </c>
      <c r="C284" s="0" t="s">
        <v>2962</v>
      </c>
      <c r="D284" s="0" t="n">
        <v>2</v>
      </c>
      <c r="E284" s="0" t="n">
        <v>164</v>
      </c>
      <c r="F284" s="0" t="n">
        <v>2</v>
      </c>
      <c r="G284" s="0" t="n">
        <v>13.33</v>
      </c>
      <c r="H284" s="0" t="n">
        <v>48</v>
      </c>
    </row>
    <row r="285" customFormat="false" ht="14.4" hidden="false" customHeight="false" outlineLevel="0" collapsed="false">
      <c r="A285" s="0" t="s">
        <v>3003</v>
      </c>
      <c r="B285" s="0" t="n">
        <v>25</v>
      </c>
      <c r="C285" s="0" t="s">
        <v>2962</v>
      </c>
      <c r="D285" s="0" t="n">
        <v>3</v>
      </c>
      <c r="E285" s="0" t="n">
        <v>240</v>
      </c>
      <c r="F285" s="0" t="n">
        <v>3</v>
      </c>
      <c r="G285" s="0" t="n">
        <v>11.63</v>
      </c>
      <c r="H285" s="0" t="n">
        <v>48</v>
      </c>
    </row>
    <row r="286" customFormat="false" ht="14.4" hidden="false" customHeight="false" outlineLevel="0" collapsed="false">
      <c r="A286" s="0" t="s">
        <v>3004</v>
      </c>
      <c r="B286" s="0" t="n">
        <v>12</v>
      </c>
      <c r="C286" s="0" t="s">
        <v>2962</v>
      </c>
      <c r="D286" s="0" t="n">
        <v>2</v>
      </c>
      <c r="E286" s="0" t="n">
        <v>215</v>
      </c>
      <c r="F286" s="0" t="n">
        <v>2</v>
      </c>
      <c r="G286" s="0" t="n">
        <v>14.13</v>
      </c>
      <c r="H286" s="0" t="n">
        <v>48</v>
      </c>
    </row>
    <row r="287" customFormat="false" ht="14.4" hidden="false" customHeight="false" outlineLevel="0" collapsed="false">
      <c r="A287" s="0" t="s">
        <v>3005</v>
      </c>
      <c r="B287" s="0" t="n">
        <v>25</v>
      </c>
      <c r="C287" s="0" t="s">
        <v>2962</v>
      </c>
      <c r="D287" s="0" t="n">
        <v>3</v>
      </c>
      <c r="E287" s="0" t="n">
        <v>288</v>
      </c>
      <c r="F287" s="0" t="n">
        <v>3</v>
      </c>
      <c r="G287" s="0" t="n">
        <v>14.57</v>
      </c>
      <c r="H287" s="0" t="n">
        <v>48</v>
      </c>
    </row>
    <row r="288" customFormat="false" ht="14.4" hidden="false" customHeight="false" outlineLevel="0" collapsed="false">
      <c r="A288" s="0" t="s">
        <v>3006</v>
      </c>
      <c r="B288" s="0" t="n">
        <v>45</v>
      </c>
      <c r="C288" s="0" t="s">
        <v>2962</v>
      </c>
      <c r="D288" s="0" t="n">
        <v>3</v>
      </c>
      <c r="E288" s="0" t="n">
        <v>342</v>
      </c>
      <c r="F288" s="0" t="n">
        <v>3</v>
      </c>
      <c r="G288" s="0" t="n">
        <v>12.04</v>
      </c>
      <c r="H288" s="0" t="n">
        <v>48</v>
      </c>
    </row>
    <row r="289" customFormat="false" ht="14.4" hidden="false" customHeight="false" outlineLevel="0" collapsed="false">
      <c r="A289" s="0" t="s">
        <v>3007</v>
      </c>
      <c r="B289" s="0" t="n">
        <v>45</v>
      </c>
      <c r="C289" s="0" t="s">
        <v>2962</v>
      </c>
      <c r="D289" s="0" t="n">
        <v>2</v>
      </c>
      <c r="E289" s="0" t="n">
        <v>296</v>
      </c>
      <c r="F289" s="0" t="n">
        <v>2</v>
      </c>
      <c r="G289" s="0" t="n">
        <v>12.04</v>
      </c>
      <c r="H289" s="0" t="n">
        <v>48</v>
      </c>
    </row>
    <row r="290" customFormat="false" ht="14.4" hidden="false" customHeight="false" outlineLevel="0" collapsed="false">
      <c r="A290" s="0" t="s">
        <v>3008</v>
      </c>
      <c r="B290" s="0" t="n">
        <v>45</v>
      </c>
      <c r="C290" s="0" t="s">
        <v>2960</v>
      </c>
      <c r="D290" s="0" t="n">
        <v>3</v>
      </c>
      <c r="E290" s="0" t="n">
        <v>337</v>
      </c>
      <c r="F290" s="0" t="n">
        <v>3</v>
      </c>
      <c r="G290" s="0" t="n">
        <v>12.04</v>
      </c>
    </row>
    <row r="291" customFormat="false" ht="14.4" hidden="false" customHeight="false" outlineLevel="0" collapsed="false">
      <c r="A291" s="0" t="s">
        <v>3009</v>
      </c>
      <c r="B291" s="0" t="n">
        <v>45</v>
      </c>
      <c r="D291" s="0" t="n">
        <v>3</v>
      </c>
      <c r="E291" s="0" t="n">
        <v>288</v>
      </c>
      <c r="F291" s="0" t="n">
        <v>3</v>
      </c>
      <c r="G291" s="0" t="n">
        <v>10.51</v>
      </c>
      <c r="H291" s="0" t="n">
        <v>51</v>
      </c>
    </row>
    <row r="292" customFormat="false" ht="14.4" hidden="false" customHeight="false" outlineLevel="0" collapsed="false">
      <c r="A292" s="0" t="s">
        <v>3010</v>
      </c>
      <c r="B292" s="0" t="n">
        <v>45</v>
      </c>
      <c r="D292" s="0" t="n">
        <v>3</v>
      </c>
      <c r="E292" s="0" t="n">
        <v>254</v>
      </c>
      <c r="F292" s="0" t="n">
        <v>3</v>
      </c>
      <c r="G292" s="0" t="n">
        <v>11.17</v>
      </c>
      <c r="H292" s="0" t="n">
        <v>51</v>
      </c>
    </row>
    <row r="293" customFormat="false" ht="14.4" hidden="false" customHeight="false" outlineLevel="0" collapsed="false">
      <c r="A293" s="0" t="s">
        <v>3011</v>
      </c>
      <c r="B293" s="0" t="n">
        <v>45</v>
      </c>
      <c r="D293" s="0" t="n">
        <v>4</v>
      </c>
      <c r="E293" s="0" t="n">
        <v>288</v>
      </c>
      <c r="F293" s="0" t="n">
        <v>4</v>
      </c>
      <c r="G293" s="0" t="n">
        <v>12.17</v>
      </c>
      <c r="H293" s="0" t="n">
        <v>45</v>
      </c>
    </row>
    <row r="294" customFormat="false" ht="14.4" hidden="false" customHeight="false" outlineLevel="0" collapsed="false">
      <c r="A294" s="0" t="s">
        <v>3012</v>
      </c>
      <c r="B294" s="0" t="n">
        <v>65</v>
      </c>
      <c r="D294" s="0" t="n">
        <v>4</v>
      </c>
      <c r="E294" s="0" t="n">
        <v>340</v>
      </c>
      <c r="F294" s="0" t="n">
        <v>4</v>
      </c>
      <c r="G294" s="0" t="n">
        <v>11.64</v>
      </c>
      <c r="H294" s="0" t="n">
        <v>52</v>
      </c>
    </row>
    <row r="296" customFormat="false" ht="14.4" hidden="false" customHeight="false" outlineLevel="0" collapsed="false">
      <c r="A296" s="144" t="s">
        <v>3013</v>
      </c>
      <c r="B296" s="144" t="s">
        <v>3014</v>
      </c>
      <c r="C296" s="144" t="s">
        <v>138</v>
      </c>
      <c r="D296" s="144" t="s">
        <v>140</v>
      </c>
      <c r="E296" s="144" t="s">
        <v>142</v>
      </c>
      <c r="F296" s="144" t="s">
        <v>3015</v>
      </c>
    </row>
    <row r="297" customFormat="false" ht="14.4" hidden="false" customHeight="false" outlineLevel="0" collapsed="false">
      <c r="A297" s="0" t="s">
        <v>2950</v>
      </c>
      <c r="B297" s="0" t="n">
        <v>173</v>
      </c>
      <c r="C297" s="114" t="n">
        <v>0.8</v>
      </c>
      <c r="D297" s="114" t="n">
        <v>0.85</v>
      </c>
      <c r="E297" s="114" t="n">
        <v>1</v>
      </c>
      <c r="F297" s="0" t="n">
        <v>16</v>
      </c>
    </row>
    <row r="298" customFormat="false" ht="14.4" hidden="false" customHeight="false" outlineLevel="0" collapsed="false">
      <c r="A298" s="0" t="s">
        <v>2951</v>
      </c>
      <c r="B298" s="0" t="n">
        <v>360</v>
      </c>
      <c r="C298" s="114" t="n">
        <v>0.8</v>
      </c>
      <c r="D298" s="114" t="n">
        <v>0.9</v>
      </c>
      <c r="E298" s="114" t="n">
        <v>1.1</v>
      </c>
      <c r="F298" s="0" t="n">
        <v>19</v>
      </c>
    </row>
    <row r="299" customFormat="false" ht="14.4" hidden="false" customHeight="false" outlineLevel="0" collapsed="false">
      <c r="A299" s="0" t="s">
        <v>2952</v>
      </c>
      <c r="B299" s="0" t="n">
        <v>380</v>
      </c>
      <c r="C299" s="114" t="n">
        <v>0.8</v>
      </c>
      <c r="D299" s="114" t="n">
        <v>0.9</v>
      </c>
      <c r="E299" s="114" t="n">
        <v>1.1</v>
      </c>
      <c r="F299" s="0" t="n">
        <v>19</v>
      </c>
    </row>
    <row r="300" customFormat="false" ht="14.4" hidden="false" customHeight="false" outlineLevel="0" collapsed="false">
      <c r="A300" s="0" t="s">
        <v>2953</v>
      </c>
      <c r="B300" s="0" t="n">
        <v>402</v>
      </c>
      <c r="C300" s="114" t="n">
        <v>0.8</v>
      </c>
      <c r="D300" s="114" t="n">
        <v>0.95</v>
      </c>
      <c r="E300" s="114" t="n">
        <v>1.15</v>
      </c>
      <c r="F300" s="0" t="n">
        <v>22</v>
      </c>
    </row>
    <row r="301" customFormat="false" ht="14.4" hidden="false" customHeight="false" outlineLevel="0" collapsed="false">
      <c r="A301" s="0" t="s">
        <v>2954</v>
      </c>
      <c r="B301" s="0" t="n">
        <v>440</v>
      </c>
      <c r="C301" s="114" t="n">
        <v>0.8</v>
      </c>
      <c r="D301" s="114" t="n">
        <v>0.95</v>
      </c>
      <c r="E301" s="114" t="n">
        <v>1.15</v>
      </c>
    </row>
    <row r="302" customFormat="false" ht="14.4" hidden="false" customHeight="false" outlineLevel="0" collapsed="false">
      <c r="A302" s="0" t="s">
        <v>2955</v>
      </c>
      <c r="B302" s="0" t="n">
        <v>416</v>
      </c>
      <c r="C302" s="114" t="n">
        <v>0.8</v>
      </c>
      <c r="D302" s="114" t="n">
        <v>0.95</v>
      </c>
      <c r="E302" s="114" t="n">
        <v>1.15</v>
      </c>
    </row>
    <row r="303" customFormat="false" ht="14.4" hidden="false" customHeight="false" outlineLevel="0" collapsed="false">
      <c r="A303" s="0" t="s">
        <v>2957</v>
      </c>
      <c r="B303" s="0" t="n">
        <v>429</v>
      </c>
      <c r="C303" s="114" t="n">
        <v>0.75</v>
      </c>
      <c r="D303" s="114" t="n">
        <v>1</v>
      </c>
      <c r="E303" s="114" t="n">
        <v>1.2</v>
      </c>
      <c r="F303" s="0" t="n">
        <v>25</v>
      </c>
    </row>
    <row r="304" customFormat="false" ht="14.4" hidden="false" customHeight="false" outlineLevel="0" collapsed="false">
      <c r="A304" s="0" t="s">
        <v>2956</v>
      </c>
      <c r="B304" s="0" t="n">
        <v>429</v>
      </c>
      <c r="C304" s="114" t="n">
        <v>0.8</v>
      </c>
      <c r="D304" s="114" t="n">
        <v>1.1</v>
      </c>
      <c r="E304" s="114" t="n">
        <v>1.3</v>
      </c>
      <c r="F304" s="0" t="n">
        <v>25</v>
      </c>
    </row>
    <row r="305" customFormat="false" ht="14.4" hidden="false" customHeight="false" outlineLevel="0" collapsed="false">
      <c r="A305" s="0" t="s">
        <v>2958</v>
      </c>
      <c r="B305" s="0" t="n">
        <v>456</v>
      </c>
      <c r="C305" s="114" t="n">
        <v>0.7</v>
      </c>
      <c r="D305" s="114" t="n">
        <v>1.05</v>
      </c>
      <c r="E305" s="114" t="n">
        <v>1.25</v>
      </c>
      <c r="F305" s="0" t="n">
        <v>28</v>
      </c>
    </row>
    <row r="307" customFormat="false" ht="14.4" hidden="false" customHeight="false" outlineLevel="0" collapsed="false">
      <c r="A307" s="0" t="s">
        <v>3016</v>
      </c>
      <c r="B307" s="0" t="s">
        <v>3017</v>
      </c>
    </row>
    <row r="308" customFormat="false" ht="14.4" hidden="false" customHeight="false" outlineLevel="0" collapsed="false">
      <c r="A308" s="0" t="s">
        <v>138</v>
      </c>
      <c r="B308" s="113" t="n">
        <v>0.8</v>
      </c>
    </row>
    <row r="309" customFormat="false" ht="14.4" hidden="false" customHeight="false" outlineLevel="0" collapsed="false">
      <c r="A309" s="0" t="s">
        <v>140</v>
      </c>
      <c r="B309" s="113" t="n">
        <v>1.1</v>
      </c>
    </row>
    <row r="310" customFormat="false" ht="14.4" hidden="false" customHeight="false" outlineLevel="0" collapsed="false">
      <c r="A310" s="0" t="s">
        <v>142</v>
      </c>
      <c r="B310" s="113" t="n">
        <v>1.3</v>
      </c>
    </row>
    <row r="312" customFormat="false" ht="14.4" hidden="false" customHeight="false" outlineLevel="0" collapsed="false">
      <c r="A312" s="144" t="s">
        <v>97</v>
      </c>
      <c r="B312" s="144" t="s">
        <v>50</v>
      </c>
      <c r="C312" s="144" t="s">
        <v>173</v>
      </c>
      <c r="D312" s="144" t="s">
        <v>150</v>
      </c>
      <c r="E312" s="144" t="s">
        <v>2749</v>
      </c>
      <c r="F312" s="144" t="s">
        <v>139</v>
      </c>
      <c r="G312" s="144" t="s">
        <v>421</v>
      </c>
      <c r="H312" s="144" t="s">
        <v>98</v>
      </c>
    </row>
    <row r="313" customFormat="false" ht="14.4" hidden="false" customHeight="false" outlineLevel="0" collapsed="false">
      <c r="A313" s="0" t="s">
        <v>3018</v>
      </c>
      <c r="B313" s="0" t="n">
        <v>12</v>
      </c>
      <c r="C313" s="0" t="n">
        <v>42</v>
      </c>
      <c r="D313" s="0" t="n">
        <v>1.24</v>
      </c>
      <c r="E313" s="0" t="n">
        <v>32</v>
      </c>
      <c r="F313" s="0" t="s">
        <v>471</v>
      </c>
      <c r="G313" s="0" t="n">
        <v>0</v>
      </c>
      <c r="H313" s="0" t="n">
        <v>0</v>
      </c>
    </row>
    <row r="314" customFormat="false" ht="14.4" hidden="false" customHeight="false" outlineLevel="0" collapsed="false">
      <c r="A314" s="0" t="s">
        <v>3019</v>
      </c>
      <c r="B314" s="0" t="n">
        <v>12</v>
      </c>
      <c r="C314" s="0" t="n">
        <v>15</v>
      </c>
      <c r="D314" s="0" t="n">
        <v>0.33</v>
      </c>
      <c r="E314" s="0" t="n">
        <v>15</v>
      </c>
      <c r="F314" s="0" t="s">
        <v>437</v>
      </c>
      <c r="G314" s="0" t="n">
        <v>0</v>
      </c>
      <c r="H314" s="0" t="n">
        <v>0</v>
      </c>
    </row>
    <row r="315" customFormat="false" ht="14.4" hidden="false" customHeight="false" outlineLevel="0" collapsed="false">
      <c r="A315" s="0" t="s">
        <v>3020</v>
      </c>
      <c r="B315" s="0" t="n">
        <v>25</v>
      </c>
      <c r="C315" s="0" t="n">
        <v>116</v>
      </c>
      <c r="D315" s="0" t="n">
        <v>1.52</v>
      </c>
      <c r="E315" s="0" t="n">
        <v>35</v>
      </c>
      <c r="F315" s="0" t="s">
        <v>429</v>
      </c>
      <c r="G315" s="0" t="n">
        <v>0</v>
      </c>
      <c r="H315" s="0" t="n">
        <v>0</v>
      </c>
    </row>
    <row r="316" customFormat="false" ht="14.4" hidden="false" customHeight="false" outlineLevel="0" collapsed="false">
      <c r="A316" s="0" t="s">
        <v>3021</v>
      </c>
      <c r="B316" s="0" t="n">
        <v>12</v>
      </c>
      <c r="C316" s="0" t="n">
        <v>20</v>
      </c>
      <c r="D316" s="0" t="n">
        <v>0.47</v>
      </c>
      <c r="E316" s="0" t="n">
        <v>18</v>
      </c>
      <c r="F316" s="0" t="s">
        <v>437</v>
      </c>
      <c r="G316" s="0" t="n">
        <v>0</v>
      </c>
      <c r="H316" s="0" t="n">
        <v>0</v>
      </c>
    </row>
    <row r="317" customFormat="false" ht="14.4" hidden="false" customHeight="false" outlineLevel="0" collapsed="false">
      <c r="A317" s="0" t="s">
        <v>3022</v>
      </c>
      <c r="B317" s="0" t="n">
        <v>12</v>
      </c>
      <c r="C317" s="0" t="n">
        <v>21</v>
      </c>
      <c r="D317" s="0" t="n">
        <v>0.53</v>
      </c>
      <c r="E317" s="0" t="n">
        <v>20</v>
      </c>
      <c r="F317" s="0" t="s">
        <v>429</v>
      </c>
      <c r="G317" s="0" t="n">
        <v>0</v>
      </c>
      <c r="H317" s="0" t="n">
        <v>0</v>
      </c>
    </row>
    <row r="318" customFormat="false" ht="14.4" hidden="false" customHeight="false" outlineLevel="0" collapsed="false">
      <c r="A318" s="0" t="s">
        <v>3023</v>
      </c>
      <c r="B318" s="0" t="n">
        <v>45</v>
      </c>
      <c r="C318" s="0" t="n">
        <v>126</v>
      </c>
      <c r="D318" s="0" t="n">
        <v>1.28</v>
      </c>
      <c r="E318" s="0" t="n">
        <v>32</v>
      </c>
      <c r="F318" s="0" t="s">
        <v>429</v>
      </c>
      <c r="G318" s="0" t="n">
        <v>0</v>
      </c>
      <c r="H318" s="0" t="n">
        <v>0</v>
      </c>
    </row>
    <row r="319" customFormat="false" ht="14.4" hidden="false" customHeight="false" outlineLevel="0" collapsed="false">
      <c r="A319" s="0" t="s">
        <v>3024</v>
      </c>
      <c r="B319" s="0" t="n">
        <v>45</v>
      </c>
      <c r="C319" s="0" t="n">
        <v>122</v>
      </c>
      <c r="D319" s="0" t="n">
        <v>1.24</v>
      </c>
      <c r="E319" s="0" t="n">
        <v>32</v>
      </c>
      <c r="F319" s="0" t="s">
        <v>1065</v>
      </c>
      <c r="G319" s="0" t="n">
        <v>0</v>
      </c>
      <c r="H319" s="0" t="n">
        <v>0</v>
      </c>
    </row>
    <row r="320" customFormat="false" ht="14.4" hidden="false" customHeight="false" outlineLevel="0" collapsed="false">
      <c r="A320" s="0" t="s">
        <v>374</v>
      </c>
      <c r="B320" s="0" t="n">
        <v>45</v>
      </c>
      <c r="C320" s="0" t="n">
        <v>130</v>
      </c>
      <c r="D320" s="0" t="n">
        <v>1.36</v>
      </c>
      <c r="E320" s="0" t="n">
        <v>35</v>
      </c>
      <c r="F320" s="0" t="s">
        <v>471</v>
      </c>
      <c r="G320" s="0" t="n">
        <v>0</v>
      </c>
      <c r="H320" s="0" t="n">
        <v>0</v>
      </c>
    </row>
    <row r="321" customFormat="false" ht="14.4" hidden="false" customHeight="false" outlineLevel="0" collapsed="false">
      <c r="A321" s="0" t="s">
        <v>3025</v>
      </c>
      <c r="B321" s="0" t="n">
        <v>25</v>
      </c>
      <c r="C321" s="0" t="n">
        <v>45</v>
      </c>
      <c r="D321" s="0" t="n">
        <v>0.52</v>
      </c>
      <c r="E321" s="0" t="n">
        <v>18</v>
      </c>
      <c r="F321" s="0" t="s">
        <v>437</v>
      </c>
      <c r="G321" s="0" t="n">
        <v>0</v>
      </c>
      <c r="H321" s="0" t="n">
        <v>0</v>
      </c>
    </row>
    <row r="322" customFormat="false" ht="14.4" hidden="false" customHeight="false" outlineLevel="0" collapsed="false">
      <c r="A322" s="0" t="s">
        <v>3026</v>
      </c>
      <c r="B322" s="0" t="n">
        <v>25</v>
      </c>
      <c r="C322" s="0" t="n">
        <v>40</v>
      </c>
      <c r="D322" s="0" t="n">
        <v>0.61</v>
      </c>
      <c r="E322" s="0" t="n">
        <v>20</v>
      </c>
      <c r="F322" s="0" t="s">
        <v>429</v>
      </c>
      <c r="G322" s="0" t="n">
        <v>0</v>
      </c>
      <c r="H322" s="0" t="n">
        <v>0</v>
      </c>
    </row>
    <row r="323" customFormat="false" ht="14.4" hidden="false" customHeight="false" outlineLevel="0" collapsed="false">
      <c r="A323" s="0" t="s">
        <v>3027</v>
      </c>
      <c r="B323" s="0" t="n">
        <v>25</v>
      </c>
      <c r="C323" s="0" t="n">
        <v>50</v>
      </c>
      <c r="D323" s="0" t="n">
        <v>0.63</v>
      </c>
      <c r="E323" s="0" t="n">
        <v>23</v>
      </c>
      <c r="F323" s="0" t="s">
        <v>1065</v>
      </c>
      <c r="G323" s="0" t="n">
        <v>0</v>
      </c>
      <c r="H323" s="0" t="n">
        <v>0</v>
      </c>
    </row>
    <row r="324" customFormat="false" ht="14.4" hidden="false" customHeight="false" outlineLevel="0" collapsed="false">
      <c r="A324" s="0" t="s">
        <v>3028</v>
      </c>
      <c r="B324" s="0" t="n">
        <v>25</v>
      </c>
      <c r="C324" s="0" t="n">
        <v>62</v>
      </c>
      <c r="D324" s="0" t="n">
        <v>0.79</v>
      </c>
      <c r="E324" s="0" t="n">
        <v>28</v>
      </c>
      <c r="F324" s="0" t="s">
        <v>437</v>
      </c>
      <c r="G324" s="0" t="n">
        <v>0</v>
      </c>
      <c r="H324" s="0" t="n">
        <v>0</v>
      </c>
    </row>
    <row r="325" customFormat="false" ht="14.4" hidden="false" customHeight="false" outlineLevel="0" collapsed="false">
      <c r="A325" s="0" t="s">
        <v>135</v>
      </c>
      <c r="B325" s="0" t="n">
        <v>45</v>
      </c>
      <c r="C325" s="0" t="n">
        <v>96</v>
      </c>
      <c r="D325" s="0" t="n">
        <v>0.8</v>
      </c>
      <c r="E325" s="0" t="n">
        <v>30</v>
      </c>
      <c r="F325" s="0" t="s">
        <v>471</v>
      </c>
      <c r="G325" s="0" t="n">
        <v>10</v>
      </c>
      <c r="H325" s="0" t="n">
        <v>0</v>
      </c>
    </row>
    <row r="326" customFormat="false" ht="14.4" hidden="false" customHeight="false" outlineLevel="0" collapsed="false">
      <c r="A326" s="0" t="s">
        <v>3029</v>
      </c>
      <c r="B326" s="0" t="n">
        <v>12</v>
      </c>
      <c r="C326" s="0" t="n">
        <v>45</v>
      </c>
      <c r="D326" s="0" t="n">
        <v>0.88</v>
      </c>
      <c r="E326" s="0" t="n">
        <v>25</v>
      </c>
      <c r="F326" s="0" t="s">
        <v>471</v>
      </c>
      <c r="G326" s="0" t="n">
        <v>0</v>
      </c>
      <c r="H326" s="0" t="n">
        <v>0</v>
      </c>
    </row>
    <row r="327" customFormat="false" ht="14.4" hidden="false" customHeight="false" outlineLevel="0" collapsed="false">
      <c r="A327" s="0" t="s">
        <v>3030</v>
      </c>
      <c r="B327" s="0" t="n">
        <v>12</v>
      </c>
      <c r="C327" s="0" t="n">
        <v>24</v>
      </c>
      <c r="D327" s="0" t="n">
        <v>0.63</v>
      </c>
      <c r="E327" s="0" t="n">
        <v>23</v>
      </c>
      <c r="F327" s="0" t="s">
        <v>1065</v>
      </c>
      <c r="G327" s="0" t="n">
        <v>0</v>
      </c>
      <c r="H327" s="0" t="n">
        <v>0</v>
      </c>
    </row>
    <row r="328" customFormat="false" ht="14.4" hidden="false" customHeight="false" outlineLevel="0" collapsed="false">
      <c r="A328" s="0" t="s">
        <v>3031</v>
      </c>
      <c r="B328" s="0" t="n">
        <v>45</v>
      </c>
      <c r="C328" s="0" t="n">
        <v>78</v>
      </c>
      <c r="D328" s="0" t="n">
        <v>0.73</v>
      </c>
      <c r="E328" s="0" t="n">
        <v>28</v>
      </c>
      <c r="F328" s="0" t="s">
        <v>1820</v>
      </c>
      <c r="G328" s="0" t="n">
        <v>0</v>
      </c>
      <c r="H328" s="0" t="n">
        <v>0</v>
      </c>
    </row>
    <row r="329" customFormat="false" ht="14.4" hidden="false" customHeight="false" outlineLevel="0" collapsed="false">
      <c r="A329" s="0" t="s">
        <v>3032</v>
      </c>
      <c r="B329" s="0" t="n">
        <v>25</v>
      </c>
      <c r="C329" s="0" t="n">
        <v>54</v>
      </c>
      <c r="D329" s="0" t="n">
        <v>0.64</v>
      </c>
      <c r="E329" s="0" t="n">
        <v>20</v>
      </c>
      <c r="F329" s="0" t="s">
        <v>429</v>
      </c>
      <c r="G329" s="0" t="n">
        <v>0</v>
      </c>
      <c r="H329" s="0" t="n">
        <v>0</v>
      </c>
    </row>
    <row r="330" customFormat="false" ht="14.4" hidden="false" customHeight="false" outlineLevel="0" collapsed="false">
      <c r="A330" s="0" t="s">
        <v>3033</v>
      </c>
      <c r="B330" s="0" t="n">
        <v>45</v>
      </c>
      <c r="C330" s="0" t="n">
        <v>96</v>
      </c>
      <c r="D330" s="0" t="n">
        <v>0.87</v>
      </c>
      <c r="E330" s="0" t="n">
        <v>30</v>
      </c>
      <c r="F330" s="0" t="s">
        <v>437</v>
      </c>
      <c r="G330" s="0" t="n">
        <v>5</v>
      </c>
      <c r="H330" s="0" t="n">
        <v>0</v>
      </c>
    </row>
    <row r="331" customFormat="false" ht="14.4" hidden="false" customHeight="false" outlineLevel="0" collapsed="false">
      <c r="A331" s="0" t="s">
        <v>3034</v>
      </c>
      <c r="B331" s="0" t="n">
        <v>45</v>
      </c>
      <c r="C331" s="0" t="n">
        <v>87</v>
      </c>
      <c r="D331" s="0" t="n">
        <v>0.71</v>
      </c>
      <c r="E331" s="0" t="n">
        <v>29</v>
      </c>
      <c r="F331" s="0" t="s">
        <v>429</v>
      </c>
      <c r="G331" s="0" t="n">
        <v>0</v>
      </c>
      <c r="H331" s="0" t="n">
        <v>0</v>
      </c>
    </row>
    <row r="332" customFormat="false" ht="14.4" hidden="false" customHeight="false" outlineLevel="0" collapsed="false">
      <c r="A332" s="0" t="s">
        <v>3035</v>
      </c>
      <c r="B332" s="0" t="n">
        <v>5</v>
      </c>
      <c r="C332" s="0" t="n">
        <v>31</v>
      </c>
      <c r="D332" s="0" t="n">
        <v>0.89</v>
      </c>
      <c r="E332" s="0" t="n">
        <v>18</v>
      </c>
      <c r="F332" s="0" t="s">
        <v>1065</v>
      </c>
      <c r="G332" s="0" t="n">
        <v>0</v>
      </c>
      <c r="H332" s="0" t="n">
        <v>0</v>
      </c>
    </row>
    <row r="333" customFormat="false" ht="14.4" hidden="false" customHeight="false" outlineLevel="0" collapsed="false">
      <c r="A333" s="0" t="s">
        <v>3036</v>
      </c>
      <c r="B333" s="0" t="n">
        <v>25</v>
      </c>
      <c r="C333" s="0" t="n">
        <v>72</v>
      </c>
      <c r="D333" s="0" t="n">
        <v>0.87</v>
      </c>
      <c r="E333" s="0" t="n">
        <v>21</v>
      </c>
      <c r="F333" s="0" t="s">
        <v>437</v>
      </c>
      <c r="G333" s="0" t="n">
        <v>0</v>
      </c>
      <c r="H333" s="0" t="n">
        <v>0</v>
      </c>
    </row>
    <row r="334" customFormat="false" ht="14.4" hidden="false" customHeight="false" outlineLevel="0" collapsed="false">
      <c r="A334" s="0" t="s">
        <v>3037</v>
      </c>
      <c r="B334" s="0" t="n">
        <v>45</v>
      </c>
      <c r="C334" s="0" t="n">
        <v>120</v>
      </c>
      <c r="D334" s="0" t="n">
        <v>1.04</v>
      </c>
      <c r="E334" s="0" t="n">
        <v>28</v>
      </c>
      <c r="F334" s="0" t="s">
        <v>437</v>
      </c>
      <c r="G334" s="0" t="n">
        <v>0</v>
      </c>
      <c r="H334" s="0" t="n">
        <v>0</v>
      </c>
    </row>
    <row r="335" customFormat="false" ht="14.4" hidden="false" customHeight="false" outlineLevel="0" collapsed="false">
      <c r="A335" s="0" t="s">
        <v>3038</v>
      </c>
      <c r="B335" s="0" t="n">
        <v>25</v>
      </c>
      <c r="C335" s="0" t="n">
        <v>84</v>
      </c>
      <c r="D335" s="0" t="n">
        <v>1.04</v>
      </c>
      <c r="E335" s="0" t="n">
        <v>25</v>
      </c>
      <c r="F335" s="0" t="s">
        <v>471</v>
      </c>
      <c r="G335" s="0" t="n">
        <v>0</v>
      </c>
      <c r="H335" s="0" t="n">
        <v>0</v>
      </c>
    </row>
    <row r="336" customFormat="false" ht="14.4" hidden="false" customHeight="false" outlineLevel="0" collapsed="false">
      <c r="A336" s="0" t="s">
        <v>3039</v>
      </c>
      <c r="B336" s="0" t="n">
        <v>25</v>
      </c>
      <c r="C336" s="0" t="n">
        <v>54</v>
      </c>
      <c r="D336" s="0" t="n">
        <v>0.88</v>
      </c>
      <c r="E336" s="0" t="n">
        <v>30</v>
      </c>
      <c r="F336" s="0" t="s">
        <v>437</v>
      </c>
      <c r="G336" s="0" t="n">
        <v>0</v>
      </c>
      <c r="H336" s="0" t="n">
        <v>0</v>
      </c>
    </row>
    <row r="337" customFormat="false" ht="14.4" hidden="false" customHeight="false" outlineLevel="0" collapsed="false">
      <c r="A337" s="0" t="s">
        <v>3040</v>
      </c>
      <c r="B337" s="0" t="n">
        <v>45</v>
      </c>
      <c r="C337" s="0" t="n">
        <v>128</v>
      </c>
      <c r="D337" s="0" t="n">
        <v>1.17</v>
      </c>
      <c r="E337" s="0" t="n">
        <v>25</v>
      </c>
      <c r="F337" s="0" t="s">
        <v>471</v>
      </c>
      <c r="G337" s="0" t="n">
        <v>0</v>
      </c>
      <c r="H337" s="0" t="n">
        <v>0</v>
      </c>
    </row>
    <row r="338" customFormat="false" ht="14.4" hidden="false" customHeight="false" outlineLevel="0" collapsed="false">
      <c r="A338" s="0" t="s">
        <v>3041</v>
      </c>
      <c r="B338" s="0" t="n">
        <v>25</v>
      </c>
      <c r="C338" s="0" t="n">
        <v>65</v>
      </c>
      <c r="D338" s="0" t="n">
        <v>0.79</v>
      </c>
      <c r="E338" s="0" t="n">
        <v>24</v>
      </c>
      <c r="F338" s="0" t="s">
        <v>429</v>
      </c>
      <c r="G338" s="0" t="n">
        <v>0</v>
      </c>
      <c r="H338" s="0" t="n">
        <v>0</v>
      </c>
    </row>
    <row r="339" customFormat="false" ht="14.4" hidden="false" customHeight="false" outlineLevel="0" collapsed="false">
      <c r="A339" s="0" t="s">
        <v>3042</v>
      </c>
      <c r="B339" s="0" t="n">
        <v>45</v>
      </c>
      <c r="C339" s="0" t="n">
        <v>98</v>
      </c>
      <c r="D339" s="0" t="n">
        <v>0.9</v>
      </c>
      <c r="E339" s="0" t="n">
        <v>31</v>
      </c>
      <c r="F339" s="0" t="s">
        <v>571</v>
      </c>
      <c r="G339" s="0" t="n">
        <v>0</v>
      </c>
      <c r="H339" s="0" t="n">
        <v>0</v>
      </c>
    </row>
    <row r="340" customFormat="false" ht="14.4" hidden="false" customHeight="false" outlineLevel="0" collapsed="false">
      <c r="A340" s="0" t="s">
        <v>3043</v>
      </c>
      <c r="B340" s="0" t="n">
        <v>30</v>
      </c>
      <c r="C340" s="0" t="n">
        <v>132</v>
      </c>
      <c r="D340" s="0" t="n">
        <v>1.77</v>
      </c>
      <c r="E340" s="0" t="n">
        <v>35</v>
      </c>
      <c r="F340" s="0" t="s">
        <v>471</v>
      </c>
      <c r="G340" s="0" t="n">
        <v>0</v>
      </c>
      <c r="H340" s="0" t="n">
        <v>15</v>
      </c>
    </row>
    <row r="341" customFormat="false" ht="14.4" hidden="false" customHeight="false" outlineLevel="0" collapsed="false">
      <c r="A341" s="0" t="s">
        <v>3044</v>
      </c>
      <c r="B341" s="0" t="n">
        <v>45</v>
      </c>
      <c r="C341" s="0" t="n">
        <v>150</v>
      </c>
      <c r="D341" s="0" t="n">
        <v>1.18</v>
      </c>
      <c r="E341" s="0" t="n">
        <v>28</v>
      </c>
      <c r="F341" s="0" t="s">
        <v>471</v>
      </c>
      <c r="G341" s="0" t="n">
        <v>0</v>
      </c>
      <c r="H341" s="0" t="n">
        <v>0</v>
      </c>
    </row>
    <row r="342" customFormat="false" ht="14.4" hidden="false" customHeight="false" outlineLevel="0" collapsed="false">
      <c r="A342" s="0" t="s">
        <v>3045</v>
      </c>
      <c r="B342" s="0" t="n">
        <v>45</v>
      </c>
      <c r="C342" s="0" t="n">
        <v>94</v>
      </c>
      <c r="D342" s="0" t="n">
        <v>0.72</v>
      </c>
      <c r="E342" s="0" t="n">
        <v>30</v>
      </c>
    </row>
    <row r="343" customFormat="false" ht="14.4" hidden="false" customHeight="false" outlineLevel="0" collapsed="false">
      <c r="A343" s="0" t="s">
        <v>3046</v>
      </c>
      <c r="B343" s="0" t="n">
        <v>45</v>
      </c>
      <c r="C343" s="0" t="n">
        <v>128</v>
      </c>
      <c r="D343" s="0" t="n">
        <v>1.2</v>
      </c>
      <c r="E343" s="0" t="n">
        <v>32</v>
      </c>
    </row>
    <row r="344" customFormat="false" ht="14.4" hidden="false" customHeight="false" outlineLevel="0" collapsed="false">
      <c r="A344" s="0" t="s">
        <v>3047</v>
      </c>
      <c r="B344" s="0" t="n">
        <v>45</v>
      </c>
      <c r="C344" s="0" t="n">
        <v>124</v>
      </c>
      <c r="D344" s="0" t="n">
        <v>1.5</v>
      </c>
      <c r="E344" s="0" t="n">
        <v>35</v>
      </c>
    </row>
    <row r="345" customFormat="false" ht="14.4" hidden="false" customHeight="false" outlineLevel="0" collapsed="false">
      <c r="A345" s="0" t="s">
        <v>3048</v>
      </c>
      <c r="B345" s="0" t="n">
        <v>45</v>
      </c>
      <c r="C345" s="0" t="n">
        <v>72</v>
      </c>
      <c r="D345" s="0" t="n">
        <v>0.56</v>
      </c>
      <c r="E345" s="0" t="n">
        <v>28</v>
      </c>
    </row>
    <row r="347" customFormat="false" ht="14.4" hidden="false" customHeight="false" outlineLevel="0" collapsed="false">
      <c r="A347" s="146" t="s">
        <v>97</v>
      </c>
      <c r="B347" s="146" t="s">
        <v>138</v>
      </c>
      <c r="C347" s="146" t="s">
        <v>140</v>
      </c>
      <c r="D347" s="146" t="s">
        <v>142</v>
      </c>
    </row>
    <row r="348" customFormat="false" ht="14.4" hidden="false" customHeight="false" outlineLevel="0" collapsed="false">
      <c r="A348" s="0" t="s">
        <v>2959</v>
      </c>
      <c r="B348" s="0" t="n">
        <f aca="false">(D238*$B$297*$C$297)+(E238*$B$298*$C$298)+(F238*$B$299*$C$299)+(G238*$B$300*$C$300)+(K238*$B$303*$C$303)+(L238*$B$305*$C$305)+(J238*$B$304*$C$304)+(H238*$B$301*$C$301)+(I238*$B$302*$C$302)</f>
        <v>343.2</v>
      </c>
      <c r="C348" s="0" t="n">
        <f aca="false">(D238*$B$297*$D$297)+(E238*$B$298*$D$298)+(F238*$B$299*$D$299)+(G238*$B$300*$D$300)+(K238*$B$303*$D$303)+(L238*$B$305*$D$305)+(J238*$B$304*$D$304)+(H238*$B$301*$D$301)+(I238*$B$302*$D$302)</f>
        <v>471.9</v>
      </c>
      <c r="D348" s="0" t="n">
        <f aca="false">(D238*$B$297*$E$297)+(E238*$B$298*$E$298)+(F238*$B$299*$E$299)+(G238*$B$300*$E$300)+(K238*$B$303*$E$303)+(L238*$B$305*$E$305)+(J238*$B$304*$E$304)+(H238*$B$301*$E$301)+(I238*$B$302*$E$302)</f>
        <v>557.7</v>
      </c>
    </row>
    <row r="349" customFormat="false" ht="14.4" hidden="false" customHeight="false" outlineLevel="0" collapsed="false">
      <c r="A349" s="0" t="s">
        <v>2961</v>
      </c>
      <c r="B349" s="0" t="n">
        <f aca="false">(D239*$B$297*$C$297)+(E239*$B$298*$C$298)+(F239*$B$299*$C$299)+(G239*$B$300*$C$300)+(K239*$B$303*$C$303)+(L239*$B$305*$C$305)+(J239*$B$304*$C$304)+(H239*$B$301*$C$301)+(I239*$B$302*$C$302)</f>
        <v>0</v>
      </c>
      <c r="C349" s="0" t="n">
        <f aca="false">(D239*$B$297*$D$297)+(E239*$B$298*$D$298)+(F239*$B$299*$D$299)+(G239*$B$300*$D$300)+(K239*$B$303*$D$303)+(L239*$B$305*$D$305)+(J239*$B$304*$D$304)+(H239*$B$301*$D$301)+(I239*$B$302*$D$302)</f>
        <v>0</v>
      </c>
      <c r="D349" s="0" t="n">
        <f aca="false">(D239*$B$297*$E$297)+(E239*$B$298*$E$298)+(F239*$B$299*$E$299)+(G239*$B$300*$E$300)+(K239*$B$303*$E$303)+(L239*$B$305*$E$305)+(J239*$B$304*$E$304)+(H239*$B$301*$E$301)+(I239*$B$302*$E$302)</f>
        <v>0</v>
      </c>
    </row>
    <row r="350" customFormat="false" ht="14.4" hidden="false" customHeight="false" outlineLevel="0" collapsed="false">
      <c r="A350" s="0" t="s">
        <v>2963</v>
      </c>
      <c r="B350" s="0" t="n">
        <f aca="false">(D240*$B$297*$C$297)+(E240*$B$298*$C$298)+(F240*$B$299*$C$299)+(G240*$B$300*$C$300)+(K240*$B$303*$C$303)+(L240*$B$305*$C$305)+(J240*$B$304*$C$304)+(H240*$B$301*$C$301)+(I240*$B$302*$C$302)</f>
        <v>276.8</v>
      </c>
      <c r="C350" s="0" t="n">
        <f aca="false">(D240*$B$297*$D$297)+(E240*$B$298*$D$298)+(F240*$B$299*$D$299)+(G240*$B$300*$D$300)+(K240*$B$303*$D$303)+(L240*$B$305*$D$305)+(J240*$B$304*$D$304)+(H240*$B$301*$D$301)+(I240*$B$302*$D$302)</f>
        <v>294.1</v>
      </c>
      <c r="D350" s="0" t="n">
        <f aca="false">(D240*$B$297*$E$297)+(E240*$B$298*$E$298)+(F240*$B$299*$E$299)+(G240*$B$300*$E$300)+(K240*$B$303*$E$303)+(L240*$B$305*$E$305)+(J240*$B$304*$E$304)+(H240*$B$301*$E$301)+(I240*$B$302*$E$302)</f>
        <v>346</v>
      </c>
    </row>
    <row r="351" customFormat="false" ht="14.4" hidden="false" customHeight="false" outlineLevel="0" collapsed="false">
      <c r="A351" s="0" t="s">
        <v>2964</v>
      </c>
      <c r="B351" s="0" t="n">
        <f aca="false">(D241*$B$297*$C$297)+(E241*$B$298*$C$298)+(F241*$B$299*$C$299)+(G241*$B$300*$C$300)+(K241*$B$303*$C$303)+(L241*$B$305*$C$305)+(J241*$B$304*$C$304)+(H241*$B$301*$C$301)+(I241*$B$302*$C$302)</f>
        <v>276.8</v>
      </c>
      <c r="C351" s="0" t="n">
        <f aca="false">(D241*$B$297*$D$297)+(E241*$B$298*$D$298)+(F241*$B$299*$D$299)+(G241*$B$300*$D$300)+(K241*$B$303*$D$303)+(L241*$B$305*$D$305)+(J241*$B$304*$D$304)+(H241*$B$301*$D$301)+(I241*$B$302*$D$302)</f>
        <v>294.1</v>
      </c>
      <c r="D351" s="0" t="n">
        <f aca="false">(D241*$B$297*$E$297)+(E241*$B$298*$E$298)+(F241*$B$299*$E$299)+(G241*$B$300*$E$300)+(K241*$B$303*$E$303)+(L241*$B$305*$E$305)+(J241*$B$304*$E$304)+(H241*$B$301*$E$301)+(I241*$B$302*$E$302)</f>
        <v>346</v>
      </c>
    </row>
    <row r="352" customFormat="false" ht="14.4" hidden="false" customHeight="false" outlineLevel="0" collapsed="false">
      <c r="A352" s="0" t="s">
        <v>2965</v>
      </c>
      <c r="B352" s="0" t="n">
        <f aca="false">(D242*$B$297*$C$297)+(E242*$B$298*$C$298)+(F242*$B$299*$C$299)+(G242*$B$300*$C$300)+(K242*$B$303*$C$303)+(L242*$B$305*$C$305)+(J242*$B$304*$C$304)+(H242*$B$301*$C$301)+(I242*$B$302*$C$302)</f>
        <v>576</v>
      </c>
      <c r="C352" s="0" t="n">
        <f aca="false">(D242*$B$297*$D$297)+(E242*$B$298*$D$298)+(F242*$B$299*$D$299)+(G242*$B$300*$D$300)+(K242*$B$303*$D$303)+(L242*$B$305*$D$305)+(J242*$B$304*$D$304)+(H242*$B$301*$D$301)+(I242*$B$302*$D$302)</f>
        <v>648</v>
      </c>
      <c r="D352" s="0" t="n">
        <f aca="false">(D242*$B$297*$E$297)+(E242*$B$298*$E$298)+(F242*$B$299*$E$299)+(G242*$B$300*$E$300)+(K242*$B$303*$E$303)+(L242*$B$305*$E$305)+(J242*$B$304*$E$304)+(H242*$B$301*$E$301)+(I242*$B$302*$E$302)</f>
        <v>792</v>
      </c>
    </row>
    <row r="353" customFormat="false" ht="14.4" hidden="false" customHeight="false" outlineLevel="0" collapsed="false">
      <c r="A353" s="0" t="s">
        <v>2966</v>
      </c>
      <c r="B353" s="0" t="n">
        <f aca="false">(D243*$B$297*$C$297)+(E243*$B$298*$C$298)+(F243*$B$299*$C$299)+(G243*$B$300*$C$300)+(K243*$B$303*$C$303)+(L243*$B$305*$C$305)+(J243*$B$304*$C$304)+(H243*$B$301*$C$301)+(I243*$B$302*$C$302)</f>
        <v>564.8</v>
      </c>
      <c r="C353" s="0" t="n">
        <f aca="false">(D243*$B$297*$D$297)+(E243*$B$298*$D$298)+(F243*$B$299*$D$299)+(G243*$B$300*$D$300)+(K243*$B$303*$D$303)+(L243*$B$305*$D$305)+(J243*$B$304*$D$304)+(H243*$B$301*$D$301)+(I243*$B$302*$D$302)</f>
        <v>618.1</v>
      </c>
      <c r="D353" s="0" t="n">
        <f aca="false">(D243*$B$297*$E$297)+(E243*$B$298*$E$298)+(F243*$B$299*$E$299)+(G243*$B$300*$E$300)+(K243*$B$303*$E$303)+(L243*$B$305*$E$305)+(J243*$B$304*$E$304)+(H243*$B$301*$E$301)+(I243*$B$302*$E$302)</f>
        <v>742</v>
      </c>
    </row>
    <row r="354" customFormat="false" ht="14.4" hidden="false" customHeight="false" outlineLevel="0" collapsed="false">
      <c r="A354" s="0" t="s">
        <v>2967</v>
      </c>
      <c r="B354" s="0" t="n">
        <f aca="false">(D244*$B$297*$C$297)+(E244*$B$298*$C$298)+(F244*$B$299*$C$299)+(G244*$B$300*$C$300)+(K244*$B$303*$C$303)+(L244*$B$305*$C$305)+(J244*$B$304*$C$304)+(H244*$B$301*$C$301)+(I244*$B$302*$C$302)</f>
        <v>0</v>
      </c>
      <c r="C354" s="0" t="n">
        <f aca="false">(D244*$B$297*$D$297)+(E244*$B$298*$D$298)+(F244*$B$299*$D$299)+(G244*$B$300*$D$300)+(K244*$B$303*$D$303)+(L244*$B$305*$D$305)+(J244*$B$304*$D$304)+(H244*$B$301*$D$301)+(I244*$B$302*$D$302)</f>
        <v>0</v>
      </c>
      <c r="D354" s="0" t="n">
        <f aca="false">(D244*$B$297*$E$297)+(E244*$B$298*$E$298)+(F244*$B$299*$E$299)+(G244*$B$300*$E$300)+(K244*$B$303*$E$303)+(L244*$B$305*$E$305)+(J244*$B$304*$E$304)+(H244*$B$301*$E$301)+(I244*$B$302*$E$302)</f>
        <v>0</v>
      </c>
    </row>
    <row r="355" customFormat="false" ht="14.4" hidden="false" customHeight="false" outlineLevel="0" collapsed="false">
      <c r="A355" s="0" t="s">
        <v>2968</v>
      </c>
      <c r="B355" s="0" t="n">
        <f aca="false">(D245*$B$297*$C$297)+(E245*$B$298*$C$298)+(F245*$B$299*$C$299)+(G245*$B$300*$C$300)+(K245*$B$303*$C$303)+(L245*$B$305*$C$305)+(J245*$B$304*$C$304)+(H245*$B$301*$C$301)+(I245*$B$302*$C$302)</f>
        <v>288</v>
      </c>
      <c r="C355" s="0" t="n">
        <f aca="false">(D245*$B$297*$D$297)+(E245*$B$298*$D$298)+(F245*$B$299*$D$299)+(G245*$B$300*$D$300)+(K245*$B$303*$D$303)+(L245*$B$305*$D$305)+(J245*$B$304*$D$304)+(H245*$B$301*$D$301)+(I245*$B$302*$D$302)</f>
        <v>324</v>
      </c>
      <c r="D355" s="0" t="n">
        <f aca="false">(D245*$B$297*$E$297)+(E245*$B$298*$E$298)+(F245*$B$299*$E$299)+(G245*$B$300*$E$300)+(K245*$B$303*$E$303)+(L245*$B$305*$E$305)+(J245*$B$304*$E$304)+(H245*$B$301*$E$301)+(I245*$B$302*$E$302)</f>
        <v>396</v>
      </c>
    </row>
    <row r="356" customFormat="false" ht="14.4" hidden="false" customHeight="false" outlineLevel="0" collapsed="false">
      <c r="A356" s="0" t="s">
        <v>2969</v>
      </c>
      <c r="B356" s="0" t="n">
        <f aca="false">(D246*$B$297*$C$297)+(E246*$B$298*$C$298)+(F246*$B$299*$C$299)+(G246*$B$300*$C$300)+(K246*$B$303*$C$303)+(L246*$B$305*$C$305)+(J246*$B$304*$C$304)+(H246*$B$301*$C$301)+(I246*$B$302*$C$302)</f>
        <v>643.5</v>
      </c>
      <c r="C356" s="0" t="n">
        <f aca="false">(D246*$B$297*$D$297)+(E246*$B$298*$D$298)+(F246*$B$299*$D$299)+(G246*$B$300*$D$300)+(K246*$B$303*$D$303)+(L246*$B$305*$D$305)+(J246*$B$304*$D$304)+(H246*$B$301*$D$301)+(I246*$B$302*$D$302)</f>
        <v>858</v>
      </c>
      <c r="D356" s="0" t="n">
        <f aca="false">(D246*$B$297*$E$297)+(E246*$B$298*$E$298)+(F246*$B$299*$E$299)+(G246*$B$300*$E$300)+(K246*$B$303*$E$303)+(L246*$B$305*$E$305)+(J246*$B$304*$E$304)+(H246*$B$301*$E$301)+(I246*$B$302*$E$302)</f>
        <v>1029.6</v>
      </c>
    </row>
    <row r="357" customFormat="false" ht="14.4" hidden="false" customHeight="false" outlineLevel="0" collapsed="false">
      <c r="A357" s="0" t="s">
        <v>2970</v>
      </c>
      <c r="B357" s="0" t="n">
        <f aca="false">(D247*$B$297*$C$297)+(E247*$B$298*$C$298)+(F247*$B$299*$C$299)+(G247*$B$300*$C$300)+(K247*$B$303*$C$303)+(L247*$B$305*$C$305)+(J247*$B$304*$C$304)+(H247*$B$301*$C$301)+(I247*$B$302*$C$302)</f>
        <v>598.4</v>
      </c>
      <c r="C357" s="0" t="n">
        <f aca="false">(D247*$B$297*$D$297)+(E247*$B$298*$D$298)+(F247*$B$299*$D$299)+(G247*$B$300*$D$300)+(K247*$B$303*$D$303)+(L247*$B$305*$D$305)+(J247*$B$304*$D$304)+(H247*$B$301*$D$301)+(I247*$B$302*$D$302)</f>
        <v>676</v>
      </c>
      <c r="D357" s="0" t="n">
        <f aca="false">(D247*$B$297*$E$297)+(E247*$B$298*$E$298)+(F247*$B$299*$E$299)+(G247*$B$300*$E$300)+(K247*$B$303*$E$303)+(L247*$B$305*$E$305)+(J247*$B$304*$E$304)+(H247*$B$301*$E$301)+(I247*$B$302*$E$302)</f>
        <v>808.3</v>
      </c>
    </row>
    <row r="358" customFormat="false" ht="14.4" hidden="false" customHeight="false" outlineLevel="0" collapsed="false">
      <c r="A358" s="0" t="s">
        <v>2971</v>
      </c>
      <c r="B358" s="0" t="n">
        <f aca="false">(D248*$B$297*$C$297)+(E248*$B$298*$C$298)+(F248*$B$299*$C$299)+(G248*$B$300*$C$300)+(K248*$B$303*$C$303)+(L248*$B$305*$C$305)+(J248*$B$304*$C$304)+(H248*$B$301*$C$301)+(I248*$B$302*$C$302)</f>
        <v>0</v>
      </c>
      <c r="C358" s="0" t="n">
        <f aca="false">(D248*$B$297*$D$297)+(E248*$B$298*$D$298)+(F248*$B$299*$D$299)+(G248*$B$300*$D$300)+(K248*$B$303*$D$303)+(L248*$B$305*$D$305)+(J248*$B$304*$D$304)+(H248*$B$301*$D$301)+(I248*$B$302*$D$302)</f>
        <v>0</v>
      </c>
      <c r="D358" s="0" t="n">
        <f aca="false">(D248*$B$297*$E$297)+(E248*$B$298*$E$298)+(F248*$B$299*$E$299)+(G248*$B$300*$E$300)+(K248*$B$303*$E$303)+(L248*$B$305*$E$305)+(J248*$B$304*$E$304)+(H248*$B$301*$E$301)+(I248*$B$302*$E$302)</f>
        <v>0</v>
      </c>
    </row>
    <row r="359" customFormat="false" ht="14.4" hidden="false" customHeight="false" outlineLevel="0" collapsed="false">
      <c r="A359" s="0" t="s">
        <v>2972</v>
      </c>
      <c r="B359" s="0" t="n">
        <f aca="false">(D249*$B$297*$C$297)+(E249*$B$298*$C$298)+(F249*$B$299*$C$299)+(G249*$B$300*$C$300)+(K249*$B$303*$C$303)+(L249*$B$305*$C$305)+(J249*$B$304*$C$304)+(H249*$B$301*$C$301)+(I249*$B$302*$C$302)</f>
        <v>0</v>
      </c>
      <c r="C359" s="0" t="n">
        <f aca="false">(D249*$B$297*$D$297)+(E249*$B$298*$D$298)+(F249*$B$299*$D$299)+(G249*$B$300*$D$300)+(K249*$B$303*$D$303)+(L249*$B$305*$D$305)+(J249*$B$304*$D$304)+(H249*$B$301*$D$301)+(I249*$B$302*$D$302)</f>
        <v>0</v>
      </c>
      <c r="D359" s="0" t="n">
        <f aca="false">(D249*$B$297*$E$297)+(E249*$B$298*$E$298)+(F249*$B$299*$E$299)+(G249*$B$300*$E$300)+(K249*$B$303*$E$303)+(L249*$B$305*$E$305)+(J249*$B$304*$E$304)+(H249*$B$301*$E$301)+(I249*$B$302*$E$302)</f>
        <v>0</v>
      </c>
    </row>
    <row r="360" customFormat="false" ht="14.4" hidden="false" customHeight="false" outlineLevel="0" collapsed="false">
      <c r="A360" s="0" t="s">
        <v>2973</v>
      </c>
      <c r="B360" s="0" t="n">
        <f aca="false">(D250*$B$297*$C$297)+(E250*$B$298*$C$298)+(F250*$B$299*$C$299)+(G250*$B$300*$C$300)+(K250*$B$303*$C$303)+(L250*$B$305*$C$305)+(J250*$B$304*$C$304)+(H250*$B$301*$C$301)+(I250*$B$302*$C$302)</f>
        <v>576</v>
      </c>
      <c r="C360" s="0" t="n">
        <f aca="false">(D250*$B$297*$D$297)+(E250*$B$298*$D$298)+(F250*$B$299*$D$299)+(G250*$B$300*$D$300)+(K250*$B$303*$D$303)+(L250*$B$305*$D$305)+(J250*$B$304*$D$304)+(H250*$B$301*$D$301)+(I250*$B$302*$D$302)</f>
        <v>648</v>
      </c>
      <c r="D360" s="0" t="n">
        <f aca="false">(D250*$B$297*$E$297)+(E250*$B$298*$E$298)+(F250*$B$299*$E$299)+(G250*$B$300*$E$300)+(K250*$B$303*$E$303)+(L250*$B$305*$E$305)+(J250*$B$304*$E$304)+(H250*$B$301*$E$301)+(I250*$B$302*$E$302)</f>
        <v>792</v>
      </c>
    </row>
    <row r="361" customFormat="false" ht="14.4" hidden="false" customHeight="false" outlineLevel="0" collapsed="false">
      <c r="A361" s="0" t="s">
        <v>2974</v>
      </c>
      <c r="B361" s="0" t="n">
        <f aca="false">(D251*$B$297*$C$297)+(E251*$B$298*$C$298)+(F251*$B$299*$C$299)+(G251*$B$300*$C$300)+(K251*$B$303*$C$303)+(L251*$B$305*$C$305)+(J251*$B$304*$C$304)+(H251*$B$301*$C$301)+(I251*$B$302*$C$302)</f>
        <v>576</v>
      </c>
      <c r="C361" s="0" t="n">
        <f aca="false">(D251*$B$297*$D$297)+(E251*$B$298*$D$298)+(F251*$B$299*$D$299)+(G251*$B$300*$D$300)+(K251*$B$303*$D$303)+(L251*$B$305*$D$305)+(J251*$B$304*$D$304)+(H251*$B$301*$D$301)+(I251*$B$302*$D$302)</f>
        <v>648</v>
      </c>
      <c r="D361" s="0" t="n">
        <f aca="false">(D251*$B$297*$E$297)+(E251*$B$298*$E$298)+(F251*$B$299*$E$299)+(G251*$B$300*$E$300)+(K251*$B$303*$E$303)+(L251*$B$305*$E$305)+(J251*$B$304*$E$304)+(H251*$B$301*$E$301)+(I251*$B$302*$E$302)</f>
        <v>792</v>
      </c>
    </row>
    <row r="362" customFormat="false" ht="14.4" hidden="false" customHeight="false" outlineLevel="0" collapsed="false">
      <c r="A362" s="0" t="s">
        <v>2975</v>
      </c>
      <c r="B362" s="0" t="n">
        <f aca="false">(D252*$B$297*$C$297)+(E252*$B$298*$C$298)+(F252*$B$299*$C$299)+(G252*$B$300*$C$300)+(K252*$B$303*$C$303)+(L252*$B$305*$C$305)+(J252*$B$304*$C$304)+(H252*$B$301*$C$301)+(I252*$B$302*$C$302)</f>
        <v>643.2</v>
      </c>
      <c r="C362" s="0" t="n">
        <f aca="false">(D252*$B$297*$D$297)+(E252*$B$298*$D$298)+(F252*$B$299*$D$299)+(G252*$B$300*$D$300)+(K252*$B$303*$D$303)+(L252*$B$305*$D$305)+(J252*$B$304*$D$304)+(H252*$B$301*$D$301)+(I252*$B$302*$D$302)</f>
        <v>763.8</v>
      </c>
      <c r="D362" s="0" t="n">
        <f aca="false">(D252*$B$297*$E$297)+(E252*$B$298*$E$298)+(F252*$B$299*$E$299)+(G252*$B$300*$E$300)+(K252*$B$303*$E$303)+(L252*$B$305*$E$305)+(J252*$B$304*$E$304)+(H252*$B$301*$E$301)+(I252*$B$302*$E$302)</f>
        <v>924.6</v>
      </c>
    </row>
    <row r="363" customFormat="false" ht="14.4" hidden="false" customHeight="false" outlineLevel="0" collapsed="false">
      <c r="A363" s="0" t="s">
        <v>2976</v>
      </c>
      <c r="B363" s="0" t="n">
        <f aca="false">(D253*$B$297*$C$297)+(E253*$B$298*$C$298)+(F253*$B$299*$C$299)+(G253*$B$300*$C$300)+(K253*$B$303*$C$303)+(L253*$B$305*$C$305)+(J253*$B$304*$C$304)+(H253*$B$301*$C$301)+(I253*$B$302*$C$302)</f>
        <v>276.8</v>
      </c>
      <c r="C363" s="0" t="n">
        <f aca="false">(D253*$B$297*$D$297)+(E253*$B$298*$D$298)+(F253*$B$299*$D$299)+(G253*$B$300*$D$300)+(K253*$B$303*$D$303)+(L253*$B$305*$D$305)+(J253*$B$304*$D$304)+(H253*$B$301*$D$301)+(I253*$B$302*$D$302)</f>
        <v>294.1</v>
      </c>
      <c r="D363" s="0" t="n">
        <f aca="false">(D253*$B$297*$E$297)+(E253*$B$298*$E$298)+(F253*$B$299*$E$299)+(G253*$B$300*$E$300)+(K253*$B$303*$E$303)+(L253*$B$305*$E$305)+(J253*$B$304*$E$304)+(H253*$B$301*$E$301)+(I253*$B$302*$E$302)</f>
        <v>346</v>
      </c>
    </row>
    <row r="364" customFormat="false" ht="14.4" hidden="false" customHeight="false" outlineLevel="0" collapsed="false">
      <c r="A364" s="0" t="s">
        <v>2977</v>
      </c>
      <c r="B364" s="0" t="n">
        <f aca="false">(D254*$B$297*$C$297)+(E254*$B$298*$C$298)+(F254*$B$299*$C$299)+(G254*$B$300*$C$300)+(K254*$B$303*$C$303)+(L254*$B$305*$C$305)+(J254*$B$304*$C$304)+(H254*$B$301*$C$301)+(I254*$B$302*$C$302)</f>
        <v>875.2</v>
      </c>
      <c r="C364" s="0" t="n">
        <f aca="false">(D254*$B$297*$D$297)+(E254*$B$298*$D$298)+(F254*$B$299*$D$299)+(G254*$B$300*$D$300)+(K254*$B$303*$D$303)+(L254*$B$305*$D$305)+(J254*$B$304*$D$304)+(H254*$B$301*$D$301)+(I254*$B$302*$D$302)</f>
        <v>970.1</v>
      </c>
      <c r="D364" s="0" t="n">
        <f aca="false">(D254*$B$297*$E$297)+(E254*$B$298*$E$298)+(F254*$B$299*$E$299)+(G254*$B$300*$E$300)+(K254*$B$303*$E$303)+(L254*$B$305*$E$305)+(J254*$B$304*$E$304)+(H254*$B$301*$E$301)+(I254*$B$302*$E$302)</f>
        <v>1154.3</v>
      </c>
    </row>
    <row r="365" customFormat="false" ht="14.4" hidden="false" customHeight="false" outlineLevel="0" collapsed="false">
      <c r="A365" s="0" t="s">
        <v>2978</v>
      </c>
      <c r="B365" s="0" t="n">
        <f aca="false">(D255*$B$297*$C$297)+(E255*$B$298*$C$298)+(F255*$B$299*$C$299)+(G255*$B$300*$C$300)+(K255*$B$303*$C$303)+(L255*$B$305*$C$305)+(J255*$B$304*$C$304)+(H255*$B$301*$C$301)+(I255*$B$302*$C$302)</f>
        <v>596</v>
      </c>
      <c r="C365" s="0" t="n">
        <f aca="false">(D255*$B$297*$D$297)+(E255*$B$298*$D$298)+(F255*$B$299*$D$299)+(G255*$B$300*$D$300)+(K255*$B$303*$D$303)+(L255*$B$305*$D$305)+(J255*$B$304*$D$304)+(H255*$B$301*$D$301)+(I255*$B$302*$D$302)</f>
        <v>772.9</v>
      </c>
      <c r="D365" s="0" t="n">
        <f aca="false">(D255*$B$297*$E$297)+(E255*$B$298*$E$298)+(F255*$B$299*$E$299)+(G255*$B$300*$E$300)+(K255*$B$303*$E$303)+(L255*$B$305*$E$305)+(J255*$B$304*$E$304)+(H255*$B$301*$E$301)+(I255*$B$302*$E$302)</f>
        <v>916</v>
      </c>
    </row>
    <row r="366" customFormat="false" ht="14.4" hidden="false" customHeight="false" outlineLevel="0" collapsed="false">
      <c r="A366" s="0" t="s">
        <v>2979</v>
      </c>
      <c r="B366" s="0" t="n">
        <f aca="false">(D256*$B$297*$C$297)+(E256*$B$298*$C$298)+(F256*$B$299*$C$299)+(G256*$B$300*$C$300)+(K256*$B$303*$C$303)+(L256*$B$305*$C$305)+(J256*$B$304*$C$304)+(H256*$B$301*$C$301)+(I256*$B$302*$C$302)</f>
        <v>0</v>
      </c>
      <c r="C366" s="0" t="n">
        <f aca="false">(D256*$B$297*$D$297)+(E256*$B$298*$D$298)+(F256*$B$299*$D$299)+(G256*$B$300*$D$300)+(K256*$B$303*$D$303)+(L256*$B$305*$D$305)+(J256*$B$304*$D$304)+(H256*$B$301*$D$301)+(I256*$B$302*$D$302)</f>
        <v>0</v>
      </c>
      <c r="D366" s="0" t="n">
        <f aca="false">(D256*$B$297*$E$297)+(E256*$B$298*$E$298)+(F256*$B$299*$E$299)+(G256*$B$300*$E$300)+(K256*$B$303*$E$303)+(L256*$B$305*$E$305)+(J256*$B$304*$E$304)+(H256*$B$301*$E$301)+(I256*$B$302*$E$302)</f>
        <v>0</v>
      </c>
    </row>
    <row r="367" customFormat="false" ht="14.4" hidden="false" customHeight="false" outlineLevel="0" collapsed="false">
      <c r="A367" s="0" t="s">
        <v>2980</v>
      </c>
      <c r="B367" s="0" t="n">
        <f aca="false">(D257*$B$297*$C$297)+(E257*$B$298*$C$298)+(F257*$B$299*$C$299)+(G257*$B$300*$C$300)+(K257*$B$303*$C$303)+(L257*$B$305*$C$305)+(J257*$B$304*$C$304)+(H257*$B$301*$C$301)+(I257*$B$302*$C$302)</f>
        <v>895.2</v>
      </c>
      <c r="C367" s="0" t="n">
        <f aca="false">(D257*$B$297*$D$297)+(E257*$B$298*$D$298)+(F257*$B$299*$D$299)+(G257*$B$300*$D$300)+(K257*$B$303*$D$303)+(L257*$B$305*$D$305)+(J257*$B$304*$D$304)+(H257*$B$301*$D$301)+(I257*$B$302*$D$302)</f>
        <v>1126.8</v>
      </c>
      <c r="D367" s="0" t="n">
        <f aca="false">(D257*$B$297*$E$297)+(E257*$B$298*$E$298)+(F257*$B$299*$E$299)+(G257*$B$300*$E$300)+(K257*$B$303*$E$303)+(L257*$B$305*$E$305)+(J257*$B$304*$E$304)+(H257*$B$301*$E$301)+(I257*$B$302*$E$302)</f>
        <v>1362</v>
      </c>
    </row>
    <row r="368" customFormat="false" ht="14.4" hidden="false" customHeight="false" outlineLevel="0" collapsed="false">
      <c r="A368" s="0" t="s">
        <v>2981</v>
      </c>
      <c r="B368" s="0" t="n">
        <f aca="false">(D258*$B$297*$C$297)+(E258*$B$298*$C$298)+(F258*$B$299*$C$299)+(G258*$B$300*$C$300)+(K258*$B$303*$C$303)+(L258*$B$305*$C$305)+(J258*$B$304*$C$304)+(H258*$B$301*$C$301)+(I258*$B$302*$C$302)</f>
        <v>596</v>
      </c>
      <c r="C368" s="0" t="n">
        <f aca="false">(D258*$B$297*$D$297)+(E258*$B$298*$D$298)+(F258*$B$299*$D$299)+(G258*$B$300*$D$300)+(K258*$B$303*$D$303)+(L258*$B$305*$D$305)+(J258*$B$304*$D$304)+(H258*$B$301*$D$301)+(I258*$B$302*$D$302)</f>
        <v>772.9</v>
      </c>
      <c r="D368" s="0" t="n">
        <f aca="false">(D258*$B$297*$E$297)+(E258*$B$298*$E$298)+(F258*$B$299*$E$299)+(G258*$B$300*$E$300)+(K258*$B$303*$E$303)+(L258*$B$305*$E$305)+(J258*$B$304*$E$304)+(H258*$B$301*$E$301)+(I258*$B$302*$E$302)</f>
        <v>916</v>
      </c>
    </row>
    <row r="369" customFormat="false" ht="14.4" hidden="false" customHeight="false" outlineLevel="0" collapsed="false">
      <c r="A369" s="0" t="s">
        <v>2982</v>
      </c>
      <c r="B369" s="0" t="n">
        <f aca="false">(D259*$B$297*$C$297)+(E259*$B$298*$C$298)+(F259*$B$299*$C$299)+(G259*$B$300*$C$300)+(K259*$B$303*$C$303)+(L259*$B$305*$C$305)+(J259*$B$304*$C$304)+(H259*$B$301*$C$301)+(I259*$B$302*$C$302)</f>
        <v>576</v>
      </c>
      <c r="C369" s="0" t="n">
        <f aca="false">(D259*$B$297*$D$297)+(E259*$B$298*$D$298)+(F259*$B$299*$D$299)+(G259*$B$300*$D$300)+(K259*$B$303*$D$303)+(L259*$B$305*$D$305)+(J259*$B$304*$D$304)+(H259*$B$301*$D$301)+(I259*$B$302*$D$302)</f>
        <v>648</v>
      </c>
      <c r="D369" s="0" t="n">
        <f aca="false">(D259*$B$297*$E$297)+(E259*$B$298*$E$298)+(F259*$B$299*$E$299)+(G259*$B$300*$E$300)+(K259*$B$303*$E$303)+(L259*$B$305*$E$305)+(J259*$B$304*$E$304)+(H259*$B$301*$E$301)+(I259*$B$302*$E$302)</f>
        <v>792</v>
      </c>
    </row>
    <row r="370" customFormat="false" ht="14.4" hidden="false" customHeight="false" outlineLevel="0" collapsed="false">
      <c r="A370" s="0" t="s">
        <v>2983</v>
      </c>
      <c r="B370" s="0" t="n">
        <f aca="false">(D260*$B$297*$C$297)+(E260*$B$298*$C$298)+(F260*$B$299*$C$299)+(G260*$B$300*$C$300)+(K260*$B$303*$C$303)+(L260*$B$305*$C$305)+(J260*$B$304*$C$304)+(H260*$B$301*$C$301)+(I260*$B$302*$C$302)</f>
        <v>0</v>
      </c>
      <c r="C370" s="0" t="n">
        <f aca="false">(D260*$B$297*$D$297)+(E260*$B$298*$D$298)+(F260*$B$299*$D$299)+(G260*$B$300*$D$300)+(K260*$B$303*$D$303)+(L260*$B$305*$D$305)+(J260*$B$304*$D$304)+(H260*$B$301*$D$301)+(I260*$B$302*$D$302)</f>
        <v>0</v>
      </c>
      <c r="D370" s="0" t="n">
        <f aca="false">(D260*$B$297*$E$297)+(E260*$B$298*$E$298)+(F260*$B$299*$E$299)+(G260*$B$300*$E$300)+(K260*$B$303*$E$303)+(L260*$B$305*$E$305)+(J260*$B$304*$E$304)+(H260*$B$301*$E$301)+(I260*$B$302*$E$302)</f>
        <v>0</v>
      </c>
    </row>
    <row r="371" customFormat="false" ht="14.4" hidden="false" customHeight="false" outlineLevel="0" collapsed="false">
      <c r="A371" s="0" t="s">
        <v>2984</v>
      </c>
      <c r="B371" s="0" t="n">
        <f aca="false">(D261*$B$297*$C$297)+(E261*$B$298*$C$298)+(F261*$B$299*$C$299)+(G261*$B$300*$C$300)+(K261*$B$303*$C$303)+(L261*$B$305*$C$305)+(J261*$B$304*$C$304)+(H261*$B$301*$C$301)+(I261*$B$302*$C$302)</f>
        <v>576</v>
      </c>
      <c r="C371" s="0" t="n">
        <f aca="false">(D261*$B$297*$D$297)+(E261*$B$298*$D$298)+(F261*$B$299*$D$299)+(G261*$B$300*$D$300)+(K261*$B$303*$D$303)+(L261*$B$305*$D$305)+(J261*$B$304*$D$304)+(H261*$B$301*$D$301)+(I261*$B$302*$D$302)</f>
        <v>648</v>
      </c>
      <c r="D371" s="0" t="n">
        <f aca="false">(D261*$B$297*$E$297)+(E261*$B$298*$E$298)+(F261*$B$299*$E$299)+(G261*$B$300*$E$300)+(K261*$B$303*$E$303)+(L261*$B$305*$E$305)+(J261*$B$304*$E$304)+(H261*$B$301*$E$301)+(I261*$B$302*$E$302)</f>
        <v>792</v>
      </c>
    </row>
    <row r="372" customFormat="false" ht="14.4" hidden="false" customHeight="false" outlineLevel="0" collapsed="false">
      <c r="A372" s="0" t="s">
        <v>2985</v>
      </c>
      <c r="B372" s="0" t="n">
        <f aca="false">(D262*$B$297*$C$297)+(E262*$B$298*$C$298)+(F262*$B$299*$C$299)+(G262*$B$300*$C$300)+(K262*$B$303*$C$303)+(L262*$B$305*$C$305)+(J262*$B$304*$C$304)+(H262*$B$301*$C$301)+(I262*$B$302*$C$302)</f>
        <v>288</v>
      </c>
      <c r="C372" s="0" t="n">
        <f aca="false">(D262*$B$297*$D$297)+(E262*$B$298*$D$298)+(F262*$B$299*$D$299)+(G262*$B$300*$D$300)+(K262*$B$303*$D$303)+(L262*$B$305*$D$305)+(J262*$B$304*$D$304)+(H262*$B$301*$D$301)+(I262*$B$302*$D$302)</f>
        <v>324</v>
      </c>
      <c r="D372" s="0" t="n">
        <f aca="false">(D262*$B$297*$E$297)+(E262*$B$298*$E$298)+(F262*$B$299*$E$299)+(G262*$B$300*$E$300)+(K262*$B$303*$E$303)+(L262*$B$305*$E$305)+(J262*$B$304*$E$304)+(H262*$B$301*$E$301)+(I262*$B$302*$E$302)</f>
        <v>396</v>
      </c>
    </row>
    <row r="373" customFormat="false" ht="14.4" hidden="false" customHeight="false" outlineLevel="0" collapsed="false">
      <c r="A373" s="0" t="s">
        <v>359</v>
      </c>
      <c r="B373" s="0" t="n">
        <f aca="false">(D263*$B$297*$C$297)+(E263*$B$298*$C$298)+(F263*$B$299*$C$299)+(G263*$B$300*$C$300)+(K263*$B$303*$C$303)+(L263*$B$305*$C$305)+(J263*$B$304*$C$304)+(H263*$B$301*$C$301)+(I263*$B$302*$C$302)</f>
        <v>321.75</v>
      </c>
      <c r="C373" s="0" t="n">
        <f aca="false">(D263*$B$297*$D$297)+(E263*$B$298*$D$298)+(F263*$B$299*$D$299)+(G263*$B$300*$D$300)+(K263*$B$303*$D$303)+(L263*$B$305*$D$305)+(J263*$B$304*$D$304)+(H263*$B$301*$D$301)+(I263*$B$302*$D$302)</f>
        <v>429</v>
      </c>
      <c r="D373" s="0" t="n">
        <f aca="false">(D263*$B$297*$E$297)+(E263*$B$298*$E$298)+(F263*$B$299*$E$299)+(G263*$B$300*$E$300)+(K263*$B$303*$E$303)+(L263*$B$305*$E$305)+(J263*$B$304*$E$304)+(H263*$B$301*$E$301)+(I263*$B$302*$E$302)</f>
        <v>514.8</v>
      </c>
    </row>
    <row r="374" customFormat="false" ht="14.4" hidden="false" customHeight="false" outlineLevel="0" collapsed="false">
      <c r="A374" s="0" t="s">
        <v>2986</v>
      </c>
      <c r="B374" s="0" t="n">
        <f aca="false">(D264*$B$297*$C$297)+(E264*$B$298*$C$298)+(F264*$B$299*$C$299)+(G264*$B$300*$C$300)+(K264*$B$303*$C$303)+(L264*$B$305*$C$305)+(J264*$B$304*$C$304)+(H264*$B$301*$C$301)+(I264*$B$302*$C$302)</f>
        <v>0</v>
      </c>
      <c r="C374" s="0" t="n">
        <f aca="false">(D264*$B$297*$D$297)+(E264*$B$298*$D$298)+(F264*$B$299*$D$299)+(G264*$B$300*$D$300)+(K264*$B$303*$D$303)+(L264*$B$305*$D$305)+(J264*$B$304*$D$304)+(H264*$B$301*$D$301)+(I264*$B$302*$D$302)</f>
        <v>0</v>
      </c>
      <c r="D374" s="0" t="n">
        <f aca="false">(D264*$B$297*$E$297)+(E264*$B$298*$E$298)+(F264*$B$299*$E$299)+(G264*$B$300*$E$300)+(K264*$B$303*$E$303)+(L264*$B$305*$E$305)+(J264*$B$304*$E$304)+(H264*$B$301*$E$301)+(I264*$B$302*$E$302)</f>
        <v>0</v>
      </c>
    </row>
    <row r="375" customFormat="false" ht="14.4" hidden="false" customHeight="false" outlineLevel="0" collapsed="false">
      <c r="A375" s="0" t="s">
        <v>257</v>
      </c>
      <c r="B375" s="0" t="n">
        <f aca="false">(D265*$B$297*$C$297)+(E265*$B$298*$C$298)+(F265*$B$299*$C$299)+(G265*$B$300*$C$300)+(K265*$B$303*$C$303)+(L265*$B$305*$C$305)+(J265*$B$304*$C$304)+(H265*$B$301*$C$301)+(I265*$B$302*$C$302)</f>
        <v>608</v>
      </c>
      <c r="C375" s="0" t="n">
        <f aca="false">(D265*$B$297*$D$297)+(E265*$B$298*$D$298)+(F265*$B$299*$D$299)+(G265*$B$300*$D$300)+(K265*$B$303*$D$303)+(L265*$B$305*$D$305)+(J265*$B$304*$D$304)+(H265*$B$301*$D$301)+(I265*$B$302*$D$302)</f>
        <v>684</v>
      </c>
      <c r="D375" s="0" t="n">
        <f aca="false">(D265*$B$297*$E$297)+(E265*$B$298*$E$298)+(F265*$B$299*$E$299)+(G265*$B$300*$E$300)+(K265*$B$303*$E$303)+(L265*$B$305*$E$305)+(J265*$B$304*$E$304)+(H265*$B$301*$E$301)+(I265*$B$302*$E$302)</f>
        <v>836</v>
      </c>
    </row>
    <row r="376" customFormat="false" ht="14.4" hidden="false" customHeight="false" outlineLevel="0" collapsed="false">
      <c r="A376" s="0" t="s">
        <v>2987</v>
      </c>
      <c r="B376" s="0" t="n">
        <f aca="false">(D266*$B$297*$C$297)+(E266*$B$298*$C$298)+(F266*$B$299*$C$299)+(G266*$B$300*$C$300)+(K266*$B$303*$C$303)+(L266*$B$305*$C$305)+(J266*$B$304*$C$304)+(H266*$B$301*$C$301)+(I266*$B$302*$C$302)</f>
        <v>0</v>
      </c>
      <c r="C376" s="0" t="n">
        <f aca="false">(D266*$B$297*$D$297)+(E266*$B$298*$D$298)+(F266*$B$299*$D$299)+(G266*$B$300*$D$300)+(K266*$B$303*$D$303)+(L266*$B$305*$D$305)+(J266*$B$304*$D$304)+(H266*$B$301*$D$301)+(I266*$B$302*$D$302)</f>
        <v>0</v>
      </c>
      <c r="D376" s="0" t="n">
        <f aca="false">(D266*$B$297*$E$297)+(E266*$B$298*$E$298)+(F266*$B$299*$E$299)+(G266*$B$300*$E$300)+(K266*$B$303*$E$303)+(L266*$B$305*$E$305)+(J266*$B$304*$E$304)+(H266*$B$301*$E$301)+(I266*$B$302*$E$302)</f>
        <v>0</v>
      </c>
    </row>
    <row r="377" customFormat="false" ht="14.4" hidden="false" customHeight="false" outlineLevel="0" collapsed="false">
      <c r="A377" s="0" t="s">
        <v>310</v>
      </c>
      <c r="B377" s="0" t="n">
        <f aca="false">(D267*$B$297*$C$297)+(E267*$B$298*$C$298)+(F267*$B$299*$C$299)+(G267*$B$300*$C$300)+(K267*$B$303*$C$303)+(L267*$B$305*$C$305)+(J267*$B$304*$C$304)+(H267*$B$301*$C$301)+(I267*$B$302*$C$302)</f>
        <v>288</v>
      </c>
      <c r="C377" s="0" t="n">
        <f aca="false">(D267*$B$297*$D$297)+(E267*$B$298*$D$298)+(F267*$B$299*$D$299)+(G267*$B$300*$D$300)+(K267*$B$303*$D$303)+(L267*$B$305*$D$305)+(J267*$B$304*$D$304)+(H267*$B$301*$D$301)+(I267*$B$302*$D$302)</f>
        <v>324</v>
      </c>
      <c r="D377" s="0" t="n">
        <f aca="false">(D267*$B$297*$E$297)+(E267*$B$298*$E$298)+(F267*$B$299*$E$299)+(G267*$B$300*$E$300)+(K267*$B$303*$E$303)+(L267*$B$305*$E$305)+(J267*$B$304*$E$304)+(H267*$B$301*$E$301)+(I267*$B$302*$E$302)</f>
        <v>396</v>
      </c>
    </row>
    <row r="378" customFormat="false" ht="14.4" hidden="false" customHeight="false" outlineLevel="0" collapsed="false">
      <c r="A378" s="0" t="s">
        <v>2988</v>
      </c>
      <c r="B378" s="0" t="n">
        <f aca="false">(D268*$B$297*$C$297)+(E268*$B$298*$C$298)+(F268*$B$299*$C$299)+(G268*$B$300*$C$300)+(K268*$B$303*$C$303)+(L268*$B$305*$C$305)+(J268*$B$304*$C$304)+(H268*$B$301*$C$301)+(I268*$B$302*$C$302)</f>
        <v>665.6</v>
      </c>
      <c r="C378" s="0" t="n">
        <f aca="false">(D268*$B$297*$D$297)+(E268*$B$298*$D$298)+(F268*$B$299*$D$299)+(G268*$B$300*$D$300)+(K268*$B$303*$D$303)+(L268*$B$305*$D$305)+(J268*$B$304*$D$304)+(H268*$B$301*$D$301)+(I268*$B$302*$D$302)</f>
        <v>790.4</v>
      </c>
      <c r="D378" s="0" t="n">
        <f aca="false">(D268*$B$297*$E$297)+(E268*$B$298*$E$298)+(F268*$B$299*$E$299)+(G268*$B$300*$E$300)+(K268*$B$303*$E$303)+(L268*$B$305*$E$305)+(J268*$B$304*$E$304)+(H268*$B$301*$E$301)+(I268*$B$302*$E$302)</f>
        <v>956.8</v>
      </c>
    </row>
    <row r="379" customFormat="false" ht="14.4" hidden="false" customHeight="false" outlineLevel="0" collapsed="false">
      <c r="A379" s="0" t="s">
        <v>2989</v>
      </c>
      <c r="B379" s="0" t="n">
        <f aca="false">(D269*$B$297*$C$297)+(E269*$B$298*$C$298)+(F269*$B$299*$C$299)+(G269*$B$300*$C$300)+(K269*$B$303*$C$303)+(L269*$B$305*$C$305)+(J269*$B$304*$C$304)+(H269*$B$301*$C$301)+(I269*$B$302*$C$302)</f>
        <v>576</v>
      </c>
      <c r="C379" s="0" t="n">
        <f aca="false">(D269*$B$297*$D$297)+(E269*$B$298*$D$298)+(F269*$B$299*$D$299)+(G269*$B$300*$D$300)+(K269*$B$303*$D$303)+(L269*$B$305*$D$305)+(J269*$B$304*$D$304)+(H269*$B$301*$D$301)+(I269*$B$302*$D$302)</f>
        <v>648</v>
      </c>
      <c r="D379" s="0" t="n">
        <f aca="false">(D269*$B$297*$E$297)+(E269*$B$298*$E$298)+(F269*$B$299*$E$299)+(G269*$B$300*$E$300)+(K269*$B$303*$E$303)+(L269*$B$305*$E$305)+(J269*$B$304*$E$304)+(H269*$B$301*$E$301)+(I269*$B$302*$E$302)</f>
        <v>792</v>
      </c>
    </row>
    <row r="380" customFormat="false" ht="14.4" hidden="false" customHeight="false" outlineLevel="0" collapsed="false">
      <c r="A380" s="0" t="s">
        <v>2990</v>
      </c>
      <c r="B380" s="0" t="n">
        <f aca="false">(D270*$B$297*$C$297)+(E270*$B$298*$C$298)+(F270*$B$299*$C$299)+(G270*$B$300*$C$300)+(K270*$B$303*$C$303)+(L270*$B$305*$C$305)+(J270*$B$304*$C$304)+(H270*$B$301*$C$301)+(I270*$B$302*$C$302)</f>
        <v>895.2</v>
      </c>
      <c r="C380" s="0" t="n">
        <f aca="false">(D270*$B$297*$D$297)+(E270*$B$298*$D$298)+(F270*$B$299*$D$299)+(G270*$B$300*$D$300)+(K270*$B$303*$D$303)+(L270*$B$305*$D$305)+(J270*$B$304*$D$304)+(H270*$B$301*$D$301)+(I270*$B$302*$D$302)</f>
        <v>1126.8</v>
      </c>
      <c r="D380" s="0" t="n">
        <f aca="false">(D270*$B$297*$E$297)+(E270*$B$298*$E$298)+(F270*$B$299*$E$299)+(G270*$B$300*$E$300)+(K270*$B$303*$E$303)+(L270*$B$305*$E$305)+(J270*$B$304*$E$304)+(H270*$B$301*$E$301)+(I270*$B$302*$E$302)</f>
        <v>1362</v>
      </c>
    </row>
    <row r="381" customFormat="false" ht="14.4" hidden="false" customHeight="false" outlineLevel="0" collapsed="false">
      <c r="A381" s="0" t="s">
        <v>2991</v>
      </c>
      <c r="B381" s="0" t="n">
        <f aca="false">(D271*$B$297*$C$297)+(E271*$B$298*$C$298)+(F271*$B$299*$C$299)+(G271*$B$300*$C$300)+(K271*$B$303*$C$303)+(L271*$B$305*$C$305)+(J271*$B$304*$C$304)+(H271*$B$301*$C$301)+(I271*$B$302*$C$302)</f>
        <v>628.8</v>
      </c>
      <c r="C381" s="0" t="n">
        <f aca="false">(D271*$B$297*$D$297)+(E271*$B$298*$D$298)+(F271*$B$299*$D$299)+(G271*$B$300*$D$300)+(K271*$B$303*$D$303)+(L271*$B$305*$D$305)+(J271*$B$304*$D$304)+(H271*$B$301*$D$301)+(I271*$B$302*$D$302)</f>
        <v>712.1</v>
      </c>
      <c r="D381" s="0" t="n">
        <f aca="false">(D271*$B$297*$E$297)+(E271*$B$298*$E$298)+(F271*$B$299*$E$299)+(G271*$B$300*$E$300)+(K271*$B$303*$E$303)+(L271*$B$305*$E$305)+(J271*$B$304*$E$304)+(H271*$B$301*$E$301)+(I271*$B$302*$E$302)</f>
        <v>852</v>
      </c>
    </row>
    <row r="382" customFormat="false" ht="14.4" hidden="false" customHeight="false" outlineLevel="0" collapsed="false">
      <c r="A382" s="0" t="s">
        <v>2992</v>
      </c>
      <c r="B382" s="0" t="n">
        <f aca="false">(D272*$B$297*$C$297)+(E272*$B$298*$C$298)+(F272*$B$299*$C$299)+(G272*$B$300*$C$300)+(K272*$B$303*$C$303)+(L272*$B$305*$C$305)+(J272*$B$304*$C$304)+(H272*$B$301*$C$301)+(I272*$B$302*$C$302)</f>
        <v>598.4</v>
      </c>
      <c r="C382" s="0" t="n">
        <f aca="false">(D272*$B$297*$D$297)+(E272*$B$298*$D$298)+(F272*$B$299*$D$299)+(G272*$B$300*$D$300)+(K272*$B$303*$D$303)+(L272*$B$305*$D$305)+(J272*$B$304*$D$304)+(H272*$B$301*$D$301)+(I272*$B$302*$D$302)</f>
        <v>676</v>
      </c>
      <c r="D382" s="0" t="n">
        <f aca="false">(D272*$B$297*$E$297)+(E272*$B$298*$E$298)+(F272*$B$299*$E$299)+(G272*$B$300*$E$300)+(K272*$B$303*$E$303)+(L272*$B$305*$E$305)+(J272*$B$304*$E$304)+(H272*$B$301*$E$301)+(I272*$B$302*$E$302)</f>
        <v>808.3</v>
      </c>
    </row>
    <row r="383" customFormat="false" ht="14.4" hidden="false" customHeight="false" outlineLevel="0" collapsed="false">
      <c r="A383" s="0" t="s">
        <v>2993</v>
      </c>
      <c r="B383" s="0" t="n">
        <f aca="false">(D273*$B$297*$C$297)+(E273*$B$298*$C$298)+(F273*$B$299*$C$299)+(G273*$B$300*$C$300)+(K273*$B$303*$C$303)+(L273*$B$305*$C$305)+(J273*$B$304*$C$304)+(H273*$B$301*$C$301)+(I273*$B$302*$C$302)</f>
        <v>288</v>
      </c>
      <c r="C383" s="0" t="n">
        <f aca="false">(D273*$B$297*$D$297)+(E273*$B$298*$D$298)+(F273*$B$299*$D$299)+(G273*$B$300*$D$300)+(K273*$B$303*$D$303)+(L273*$B$305*$D$305)+(J273*$B$304*$D$304)+(H273*$B$301*$D$301)+(I273*$B$302*$D$302)</f>
        <v>324</v>
      </c>
      <c r="D383" s="0" t="n">
        <f aca="false">(D273*$B$297*$E$297)+(E273*$B$298*$E$298)+(F273*$B$299*$E$299)+(G273*$B$300*$E$300)+(K273*$B$303*$E$303)+(L273*$B$305*$E$305)+(J273*$B$304*$E$304)+(H273*$B$301*$E$301)+(I273*$B$302*$E$302)</f>
        <v>396</v>
      </c>
    </row>
    <row r="384" customFormat="false" ht="14.4" hidden="false" customHeight="false" outlineLevel="0" collapsed="false">
      <c r="A384" s="0" t="s">
        <v>2994</v>
      </c>
      <c r="B384" s="0" t="n">
        <f aca="false">(D274*$B$297*$C$297)+(E274*$B$298*$C$298)+(F274*$B$299*$C$299)+(G274*$B$300*$C$300)+(K274*$B$303*$C$303)+(L274*$B$305*$C$305)+(J274*$B$304*$C$304)+(H274*$B$301*$C$301)+(I274*$B$302*$C$302)</f>
        <v>665.6</v>
      </c>
      <c r="C384" s="0" t="n">
        <f aca="false">(D274*$B$297*$D$297)+(E274*$B$298*$D$298)+(F274*$B$299*$D$299)+(G274*$B$300*$D$300)+(K274*$B$303*$D$303)+(L274*$B$305*$D$305)+(J274*$B$304*$D$304)+(H274*$B$301*$D$301)+(I274*$B$302*$D$302)</f>
        <v>790.4</v>
      </c>
      <c r="D384" s="0" t="n">
        <f aca="false">(D274*$B$297*$E$297)+(E274*$B$298*$E$298)+(F274*$B$299*$E$299)+(G274*$B$300*$E$300)+(K274*$B$303*$E$303)+(L274*$B$305*$E$305)+(J274*$B$304*$E$304)+(H274*$B$301*$E$301)+(I274*$B$302*$E$302)</f>
        <v>956.8</v>
      </c>
    </row>
    <row r="385" customFormat="false" ht="14.4" hidden="false" customHeight="false" outlineLevel="0" collapsed="false">
      <c r="A385" s="0" t="s">
        <v>2995</v>
      </c>
      <c r="B385" s="0" t="n">
        <f aca="false">(D275*$B$297*$C$297)+(E275*$B$298*$C$298)+(F275*$B$299*$C$299)+(G275*$B$300*$C$300)+(K275*$B$303*$C$303)+(L275*$B$305*$C$305)+(J275*$B$304*$C$304)+(H275*$B$301*$C$301)+(I275*$B$302*$C$302)</f>
        <v>352</v>
      </c>
      <c r="C385" s="0" t="n">
        <f aca="false">(D275*$B$297*$D$297)+(E275*$B$298*$D$298)+(F275*$B$299*$D$299)+(G275*$B$300*$D$300)+(K275*$B$303*$D$303)+(L275*$B$305*$D$305)+(J275*$B$304*$D$304)+(H275*$B$301*$D$301)+(I275*$B$302*$D$302)</f>
        <v>418</v>
      </c>
      <c r="D385" s="0" t="n">
        <f aca="false">(D275*$B$297*$E$297)+(E275*$B$298*$E$298)+(F275*$B$299*$E$299)+(G275*$B$300*$E$300)+(K275*$B$303*$E$303)+(L275*$B$305*$E$305)+(J275*$B$304*$E$304)+(H275*$B$301*$E$301)+(I275*$B$302*$E$302)</f>
        <v>506</v>
      </c>
    </row>
    <row r="387" customFormat="false" ht="14.4" hidden="false" customHeight="false" outlineLevel="0" collapsed="false">
      <c r="A387" s="146" t="s">
        <v>97</v>
      </c>
      <c r="B387" s="146" t="s">
        <v>138</v>
      </c>
      <c r="C387" s="146" t="s">
        <v>140</v>
      </c>
      <c r="D387" s="146" t="s">
        <v>142</v>
      </c>
    </row>
    <row r="388" customFormat="false" ht="14.4" hidden="false" customHeight="false" outlineLevel="0" collapsed="false">
      <c r="A388" s="0" t="s">
        <v>2959</v>
      </c>
      <c r="B388" s="0" t="n">
        <f aca="false">(D238*$B$297*$C$297*0.47)+(E238*$B$298*$C$298*0.51)+(F238*$B$299*$C$299*0.51)+(G238*$B$300*$C$300*0.52)+(K238*$B$303*$C$303*0.61)+(L238*$B$305*$C$305*0.66)+(J238*$B$304*$C$304*0.66)</f>
        <v>226.512</v>
      </c>
      <c r="C388" s="0" t="n">
        <f aca="false">(D238*$B$297*$D$297*0.47)+(E238*$B$298*$D$298*0.51)+(F238*$B$299*$D$299*0.51)+(G238*$B$300*$D$300*0.52)+(K238*$B$303*$D$303*0.61)+(L238*$B$305*$D$305*0.66)+(J238*$B$304*$D$304*0.66)</f>
        <v>311.454</v>
      </c>
      <c r="D388" s="0" t="n">
        <f aca="false">(D238*$B$297*$E$297*0.47)+(E238*$B$298*$E$298*0.51)+(F238*$B$299*$E$299*0.51)+(G238*$B$300*$E$300*0.52)+(K238*$B$303*$E$303*0.61)+(L238*$B$305*$E$305*0.66)+(J238*$B$304*$E$304*0.66)</f>
        <v>368.082</v>
      </c>
    </row>
    <row r="389" customFormat="false" ht="14.4" hidden="false" customHeight="false" outlineLevel="0" collapsed="false">
      <c r="A389" s="0" t="s">
        <v>2961</v>
      </c>
      <c r="B389" s="0" t="n">
        <f aca="false">(D239*$B$297*$C$297*0.47)+(E239*$B$298*$C$298*0.51)+(F239*$B$299*$C$299*0.51)+(G239*$B$300*$C$300*0.52)+(K239*$B$303*$C$303*0.61)+(L239*$B$305*$C$305*0.66)+(J239*$B$304*$C$304*0.66)</f>
        <v>0</v>
      </c>
      <c r="C389" s="0" t="n">
        <f aca="false">(D239*$B$297*$D$297*0.47)+(E239*$B$298*$D$298*0.51)+(F239*$B$299*$D$299*0.51)+(G239*$B$300*$D$300*0.52)+(K239*$B$303*$D$303*0.61)+(L239*$B$305*$D$305*0.66)+(J239*$B$304*$D$304*0.66)</f>
        <v>0</v>
      </c>
      <c r="D389" s="0" t="n">
        <f aca="false">(D239*$B$297*$E$297*0.47)+(E239*$B$298*$E$298*0.51)+(F239*$B$299*$E$299*0.51)+(G239*$B$300*$E$300*0.52)+(K239*$B$303*$E$303*0.61)+(L239*$B$305*$E$305*0.66)+(J239*$B$304*$E$304*0.66)</f>
        <v>0</v>
      </c>
    </row>
    <row r="390" customFormat="false" ht="14.4" hidden="false" customHeight="false" outlineLevel="0" collapsed="false">
      <c r="A390" s="0" t="s">
        <v>2963</v>
      </c>
      <c r="B390" s="0" t="n">
        <f aca="false">(D240*$B$297*$C$297*0.47)+(E240*$B$298*$C$298*0.51)+(F240*$B$299*$C$299*0.51)+(G240*$B$300*$C$300*0.52)+(K240*$B$303*$C$303*0.61)+(L240*$B$305*$C$305*0.66)+(J240*$B$304*$C$304*0.66)</f>
        <v>130.096</v>
      </c>
      <c r="C390" s="0" t="n">
        <f aca="false">(D240*$B$297*$D$297*0.47)+(E240*$B$298*$D$298*0.51)+(F240*$B$299*$D$299*0.51)+(G240*$B$300*$D$300*0.52)+(K240*$B$303*$D$303*0.61)+(L240*$B$305*$D$305*0.66)+(J240*$B$304*$D$304*0.66)</f>
        <v>138.227</v>
      </c>
      <c r="D390" s="0" t="n">
        <f aca="false">(D240*$B$297*$E$297*0.47)+(E240*$B$298*$E$298*0.51)+(F240*$B$299*$E$299*0.51)+(G240*$B$300*$E$300*0.52)+(K240*$B$303*$E$303*0.61)+(L240*$B$305*$E$305*0.66)+(J240*$B$304*$E$304*0.66)</f>
        <v>162.62</v>
      </c>
    </row>
    <row r="391" customFormat="false" ht="14.4" hidden="false" customHeight="false" outlineLevel="0" collapsed="false">
      <c r="A391" s="0" t="s">
        <v>2964</v>
      </c>
      <c r="B391" s="0" t="n">
        <f aca="false">(D241*$B$297*$C$297*0.47)+(E241*$B$298*$C$298*0.51)+(F241*$B$299*$C$299*0.51)+(G241*$B$300*$C$300*0.52)+(K241*$B$303*$C$303*0.61)+(L241*$B$305*$C$305*0.66)+(J241*$B$304*$C$304*0.66)</f>
        <v>130.096</v>
      </c>
      <c r="C391" s="0" t="n">
        <f aca="false">(D241*$B$297*$D$297*0.47)+(E241*$B$298*$D$298*0.51)+(F241*$B$299*$D$299*0.51)+(G241*$B$300*$D$300*0.52)+(K241*$B$303*$D$303*0.61)+(L241*$B$305*$D$305*0.66)+(J241*$B$304*$D$304*0.66)</f>
        <v>138.227</v>
      </c>
      <c r="D391" s="0" t="n">
        <f aca="false">(D241*$B$297*$E$297*0.47)+(E241*$B$298*$E$298*0.51)+(F241*$B$299*$E$299*0.51)+(G241*$B$300*$E$300*0.52)+(K241*$B$303*$E$303*0.61)+(L241*$B$305*$E$305*0.66)+(J241*$B$304*$E$304*0.66)</f>
        <v>162.62</v>
      </c>
    </row>
    <row r="392" customFormat="false" ht="14.4" hidden="false" customHeight="false" outlineLevel="0" collapsed="false">
      <c r="A392" s="0" t="s">
        <v>2965</v>
      </c>
      <c r="B392" s="0" t="n">
        <f aca="false">(D242*$B$297*$C$297*0.47)+(E242*$B$298*$C$298*0.51)+(F242*$B$299*$C$299*0.51)+(G242*$B$300*$C$300*0.52)+(K242*$B$303*$C$303*0.61)+(L242*$B$305*$C$305*0.66)+(J242*$B$304*$C$304*0.66)</f>
        <v>293.76</v>
      </c>
      <c r="C392" s="0" t="n">
        <f aca="false">(D242*$B$297*$D$297*0.47)+(E242*$B$298*$D$298*0.51)+(F242*$B$299*$D$299*0.51)+(G242*$B$300*$D$300*0.52)+(K242*$B$303*$D$303*0.61)+(L242*$B$305*$D$305*0.66)+(J242*$B$304*$D$304*0.66)</f>
        <v>330.48</v>
      </c>
      <c r="D392" s="0" t="n">
        <f aca="false">(D242*$B$297*$E$297*0.47)+(E242*$B$298*$E$298*0.51)+(F242*$B$299*$E$299*0.51)+(G242*$B$300*$E$300*0.52)+(K242*$B$303*$E$303*0.61)+(L242*$B$305*$E$305*0.66)+(J242*$B$304*$E$304*0.66)</f>
        <v>403.92</v>
      </c>
    </row>
    <row r="393" customFormat="false" ht="14.4" hidden="false" customHeight="false" outlineLevel="0" collapsed="false">
      <c r="A393" s="0" t="s">
        <v>2966</v>
      </c>
      <c r="B393" s="0" t="n">
        <f aca="false">(D243*$B$297*$C$297*0.47)+(E243*$B$298*$C$298*0.51)+(F243*$B$299*$C$299*0.51)+(G243*$B$300*$C$300*0.52)+(K243*$B$303*$C$303*0.61)+(L243*$B$305*$C$305*0.66)+(J243*$B$304*$C$304*0.66)</f>
        <v>276.976</v>
      </c>
      <c r="C393" s="0" t="n">
        <f aca="false">(D243*$B$297*$D$297*0.47)+(E243*$B$298*$D$298*0.51)+(F243*$B$299*$D$299*0.51)+(G243*$B$300*$D$300*0.52)+(K243*$B$303*$D$303*0.61)+(L243*$B$305*$D$305*0.66)+(J243*$B$304*$D$304*0.66)</f>
        <v>303.467</v>
      </c>
      <c r="D393" s="0" t="n">
        <f aca="false">(D243*$B$297*$E$297*0.47)+(E243*$B$298*$E$298*0.51)+(F243*$B$299*$E$299*0.51)+(G243*$B$300*$E$300*0.52)+(K243*$B$303*$E$303*0.61)+(L243*$B$305*$E$305*0.66)+(J243*$B$304*$E$304*0.66)</f>
        <v>364.58</v>
      </c>
    </row>
    <row r="394" customFormat="false" ht="14.4" hidden="false" customHeight="false" outlineLevel="0" collapsed="false">
      <c r="A394" s="0" t="s">
        <v>2967</v>
      </c>
      <c r="B394" s="0" t="n">
        <f aca="false">(D244*$B$297*$C$297*0.47)+(E244*$B$298*$C$298*0.51)+(F244*$B$299*$C$299*0.51)+(G244*$B$300*$C$300*0.52)+(K244*$B$303*$C$303*0.61)+(L244*$B$305*$C$305*0.66)+(J244*$B$304*$C$304*0.66)</f>
        <v>0</v>
      </c>
      <c r="C394" s="0" t="n">
        <f aca="false">(D244*$B$297*$D$297*0.47)+(E244*$B$298*$D$298*0.51)+(F244*$B$299*$D$299*0.51)+(G244*$B$300*$D$300*0.52)+(K244*$B$303*$D$303*0.61)+(L244*$B$305*$D$305*0.66)+(J244*$B$304*$D$304*0.66)</f>
        <v>0</v>
      </c>
      <c r="D394" s="0" t="n">
        <f aca="false">(D244*$B$297*$E$297*0.47)+(E244*$B$298*$E$298*0.51)+(F244*$B$299*$E$299*0.51)+(G244*$B$300*$E$300*0.52)+(K244*$B$303*$E$303*0.61)+(L244*$B$305*$E$305*0.66)+(J244*$B$304*$E$304*0.66)</f>
        <v>0</v>
      </c>
    </row>
    <row r="395" customFormat="false" ht="14.4" hidden="false" customHeight="false" outlineLevel="0" collapsed="false">
      <c r="A395" s="0" t="s">
        <v>2968</v>
      </c>
      <c r="B395" s="0" t="n">
        <f aca="false">(D245*$B$297*$C$297*0.47)+(E245*$B$298*$C$298*0.51)+(F245*$B$299*$C$299*0.51)+(G245*$B$300*$C$300*0.52)+(K245*$B$303*$C$303*0.61)+(L245*$B$305*$C$305*0.66)+(J245*$B$304*$C$304*0.66)</f>
        <v>146.88</v>
      </c>
      <c r="C395" s="0" t="n">
        <f aca="false">(D245*$B$297*$D$297*0.47)+(E245*$B$298*$D$298*0.51)+(F245*$B$299*$D$299*0.51)+(G245*$B$300*$D$300*0.52)+(K245*$B$303*$D$303*0.61)+(L245*$B$305*$D$305*0.66)+(J245*$B$304*$D$304*0.66)</f>
        <v>165.24</v>
      </c>
      <c r="D395" s="0" t="n">
        <f aca="false">(D245*$B$297*$E$297*0.47)+(E245*$B$298*$E$298*0.51)+(F245*$B$299*$E$299*0.51)+(G245*$B$300*$E$300*0.52)+(K245*$B$303*$E$303*0.61)+(L245*$B$305*$E$305*0.66)+(J245*$B$304*$E$304*0.66)</f>
        <v>201.96</v>
      </c>
    </row>
    <row r="396" customFormat="false" ht="14.4" hidden="false" customHeight="false" outlineLevel="0" collapsed="false">
      <c r="A396" s="0" t="s">
        <v>2969</v>
      </c>
      <c r="B396" s="0" t="n">
        <f aca="false">(D246*$B$297*$C$297*0.47)+(E246*$B$298*$C$298*0.51)+(F246*$B$299*$C$299*0.51)+(G246*$B$300*$C$300*0.52)+(K246*$B$303*$C$303*0.61)+(L246*$B$305*$C$305*0.66)+(J246*$B$304*$C$304*0.66)</f>
        <v>392.535</v>
      </c>
      <c r="C396" s="0" t="n">
        <f aca="false">(D246*$B$297*$D$297*0.47)+(E246*$B$298*$D$298*0.51)+(F246*$B$299*$D$299*0.51)+(G246*$B$300*$D$300*0.52)+(K246*$B$303*$D$303*0.61)+(L246*$B$305*$D$305*0.66)+(J246*$B$304*$D$304*0.66)</f>
        <v>523.38</v>
      </c>
      <c r="D396" s="0" t="n">
        <f aca="false">(D246*$B$297*$E$297*0.47)+(E246*$B$298*$E$298*0.51)+(F246*$B$299*$E$299*0.51)+(G246*$B$300*$E$300*0.52)+(K246*$B$303*$E$303*0.61)+(L246*$B$305*$E$305*0.66)+(J246*$B$304*$E$304*0.66)</f>
        <v>628.056</v>
      </c>
    </row>
    <row r="397" customFormat="false" ht="14.4" hidden="false" customHeight="false" outlineLevel="0" collapsed="false">
      <c r="A397" s="0" t="s">
        <v>2970</v>
      </c>
      <c r="B397" s="0" t="n">
        <f aca="false">(D247*$B$297*$C$297*0.47)+(E247*$B$298*$C$298*0.51)+(F247*$B$299*$C$299*0.51)+(G247*$B$300*$C$300*0.52)+(K247*$B$303*$C$303*0.61)+(L247*$B$305*$C$305*0.66)+(J247*$B$304*$C$304*0.66)</f>
        <v>297.328</v>
      </c>
      <c r="C397" s="0" t="n">
        <f aca="false">(D247*$B$297*$D$297*0.47)+(E247*$B$298*$D$298*0.51)+(F247*$B$299*$D$299*0.51)+(G247*$B$300*$D$300*0.52)+(K247*$B$303*$D$303*0.61)+(L247*$B$305*$D$305*0.66)+(J247*$B$304*$D$304*0.66)</f>
        <v>336.815</v>
      </c>
      <c r="D397" s="0" t="n">
        <f aca="false">(D247*$B$297*$E$297*0.47)+(E247*$B$298*$E$298*0.51)+(F247*$B$299*$E$299*0.51)+(G247*$B$300*$E$300*0.52)+(K247*$B$303*$E$303*0.61)+(L247*$B$305*$E$305*0.66)+(J247*$B$304*$E$304*0.66)</f>
        <v>403.016</v>
      </c>
    </row>
    <row r="398" customFormat="false" ht="14.4" hidden="false" customHeight="false" outlineLevel="0" collapsed="false">
      <c r="A398" s="0" t="s">
        <v>2971</v>
      </c>
      <c r="B398" s="0" t="n">
        <f aca="false">(D248*$B$297*$C$297*0.47)+(E248*$B$298*$C$298*0.51)+(F248*$B$299*$C$299*0.51)+(G248*$B$300*$C$300*0.52)+(K248*$B$303*$C$303*0.61)+(L248*$B$305*$C$305*0.66)+(J248*$B$304*$C$304*0.66)</f>
        <v>0</v>
      </c>
      <c r="C398" s="0" t="n">
        <f aca="false">(D248*$B$297*$D$297*0.47)+(E248*$B$298*$D$298*0.51)+(F248*$B$299*$D$299*0.51)+(G248*$B$300*$D$300*0.52)+(K248*$B$303*$D$303*0.61)+(L248*$B$305*$D$305*0.66)+(J248*$B$304*$D$304*0.66)</f>
        <v>0</v>
      </c>
      <c r="D398" s="0" t="n">
        <f aca="false">(D248*$B$297*$E$297*0.47)+(E248*$B$298*$E$298*0.51)+(F248*$B$299*$E$299*0.51)+(G248*$B$300*$E$300*0.52)+(K248*$B$303*$E$303*0.61)+(L248*$B$305*$E$305*0.66)+(J248*$B$304*$E$304*0.66)</f>
        <v>0</v>
      </c>
    </row>
    <row r="399" customFormat="false" ht="14.4" hidden="false" customHeight="false" outlineLevel="0" collapsed="false">
      <c r="A399" s="0" t="s">
        <v>2972</v>
      </c>
      <c r="B399" s="0" t="n">
        <f aca="false">(D249*$B$297*$C$297*0.47)+(E249*$B$298*$C$298*0.51)+(F249*$B$299*$C$299*0.51)+(G249*$B$300*$C$300*0.52)+(K249*$B$303*$C$303*0.61)+(L249*$B$305*$C$305*0.66)+(J249*$B$304*$C$304*0.66)</f>
        <v>0</v>
      </c>
      <c r="C399" s="0" t="n">
        <f aca="false">(D249*$B$297*$D$297*0.47)+(E249*$B$298*$D$298*0.51)+(F249*$B$299*$D$299*0.51)+(G249*$B$300*$D$300*0.52)+(K249*$B$303*$D$303*0.61)+(L249*$B$305*$D$305*0.66)+(J249*$B$304*$D$304*0.66)</f>
        <v>0</v>
      </c>
      <c r="D399" s="0" t="n">
        <f aca="false">(D249*$B$297*$E$297*0.47)+(E249*$B$298*$E$298*0.51)+(F249*$B$299*$E$299*0.51)+(G249*$B$300*$E$300*0.52)+(K249*$B$303*$E$303*0.61)+(L249*$B$305*$E$305*0.66)+(J249*$B$304*$E$304*0.66)</f>
        <v>0</v>
      </c>
    </row>
    <row r="400" customFormat="false" ht="14.4" hidden="false" customHeight="false" outlineLevel="0" collapsed="false">
      <c r="A400" s="0" t="s">
        <v>2973</v>
      </c>
      <c r="B400" s="0" t="n">
        <f aca="false">(D250*$B$297*$C$297*0.47)+(E250*$B$298*$C$298*0.51)+(F250*$B$299*$C$299*0.51)+(G250*$B$300*$C$300*0.52)+(K250*$B$303*$C$303*0.61)+(L250*$B$305*$C$305*0.66)+(J250*$B$304*$C$304*0.66)</f>
        <v>293.76</v>
      </c>
      <c r="C400" s="0" t="n">
        <f aca="false">(D250*$B$297*$D$297*0.47)+(E250*$B$298*$D$298*0.51)+(F250*$B$299*$D$299*0.51)+(G250*$B$300*$D$300*0.52)+(K250*$B$303*$D$303*0.61)+(L250*$B$305*$D$305*0.66)+(J250*$B$304*$D$304*0.66)</f>
        <v>330.48</v>
      </c>
      <c r="D400" s="0" t="n">
        <f aca="false">(D250*$B$297*$E$297*0.47)+(E250*$B$298*$E$298*0.51)+(F250*$B$299*$E$299*0.51)+(G250*$B$300*$E$300*0.52)+(K250*$B$303*$E$303*0.61)+(L250*$B$305*$E$305*0.66)+(J250*$B$304*$E$304*0.66)</f>
        <v>403.92</v>
      </c>
    </row>
    <row r="401" customFormat="false" ht="14.4" hidden="false" customHeight="false" outlineLevel="0" collapsed="false">
      <c r="A401" s="0" t="s">
        <v>2974</v>
      </c>
      <c r="B401" s="0" t="n">
        <f aca="false">(D251*$B$297*$C$297*0.47)+(E251*$B$298*$C$298*0.51)+(F251*$B$299*$C$299*0.51)+(G251*$B$300*$C$300*0.52)+(K251*$B$303*$C$303*0.61)+(L251*$B$305*$C$305*0.66)+(J251*$B$304*$C$304*0.66)</f>
        <v>293.76</v>
      </c>
      <c r="C401" s="0" t="n">
        <f aca="false">(D251*$B$297*$D$297*0.47)+(E251*$B$298*$D$298*0.51)+(F251*$B$299*$D$299*0.51)+(G251*$B$300*$D$300*0.52)+(K251*$B$303*$D$303*0.61)+(L251*$B$305*$D$305*0.66)+(J251*$B$304*$D$304*0.66)</f>
        <v>330.48</v>
      </c>
      <c r="D401" s="0" t="n">
        <f aca="false">(D251*$B$297*$E$297*0.47)+(E251*$B$298*$E$298*0.51)+(F251*$B$299*$E$299*0.51)+(G251*$B$300*$E$300*0.52)+(K251*$B$303*$E$303*0.61)+(L251*$B$305*$E$305*0.66)+(J251*$B$304*$E$304*0.66)</f>
        <v>403.92</v>
      </c>
    </row>
    <row r="402" customFormat="false" ht="14.4" hidden="false" customHeight="false" outlineLevel="0" collapsed="false">
      <c r="A402" s="0" t="s">
        <v>2975</v>
      </c>
      <c r="B402" s="0" t="n">
        <f aca="false">(D252*$B$297*$C$297*0.47)+(E252*$B$298*$C$298*0.51)+(F252*$B$299*$C$299*0.51)+(G252*$B$300*$C$300*0.52)+(K252*$B$303*$C$303*0.61)+(L252*$B$305*$C$305*0.66)+(J252*$B$304*$C$304*0.66)</f>
        <v>334.464</v>
      </c>
      <c r="C402" s="0" t="n">
        <f aca="false">(D252*$B$297*$D$297*0.47)+(E252*$B$298*$D$298*0.51)+(F252*$B$299*$D$299*0.51)+(G252*$B$300*$D$300*0.52)+(K252*$B$303*$D$303*0.61)+(L252*$B$305*$D$305*0.66)+(J252*$B$304*$D$304*0.66)</f>
        <v>397.176</v>
      </c>
      <c r="D402" s="0" t="n">
        <f aca="false">(D252*$B$297*$E$297*0.47)+(E252*$B$298*$E$298*0.51)+(F252*$B$299*$E$299*0.51)+(G252*$B$300*$E$300*0.52)+(K252*$B$303*$E$303*0.61)+(L252*$B$305*$E$305*0.66)+(J252*$B$304*$E$304*0.66)</f>
        <v>480.792</v>
      </c>
    </row>
    <row r="403" customFormat="false" ht="14.4" hidden="false" customHeight="false" outlineLevel="0" collapsed="false">
      <c r="A403" s="0" t="s">
        <v>2976</v>
      </c>
      <c r="B403" s="0" t="n">
        <f aca="false">(D253*$B$297*$C$297*0.47)+(E253*$B$298*$C$298*0.51)+(F253*$B$299*$C$299*0.51)+(G253*$B$300*$C$300*0.52)+(K253*$B$303*$C$303*0.61)+(L253*$B$305*$C$305*0.66)+(J253*$B$304*$C$304*0.66)</f>
        <v>130.096</v>
      </c>
      <c r="C403" s="0" t="n">
        <f aca="false">(D253*$B$297*$D$297*0.47)+(E253*$B$298*$D$298*0.51)+(F253*$B$299*$D$299*0.51)+(G253*$B$300*$D$300*0.52)+(K253*$B$303*$D$303*0.61)+(L253*$B$305*$D$305*0.66)+(J253*$B$304*$D$304*0.66)</f>
        <v>138.227</v>
      </c>
      <c r="D403" s="0" t="n">
        <f aca="false">(D253*$B$297*$E$297*0.47)+(E253*$B$298*$E$298*0.51)+(F253*$B$299*$E$299*0.51)+(G253*$B$300*$E$300*0.52)+(K253*$B$303*$E$303*0.61)+(L253*$B$305*$E$305*0.66)+(J253*$B$304*$E$304*0.66)</f>
        <v>162.62</v>
      </c>
    </row>
    <row r="404" customFormat="false" ht="14.4" hidden="false" customHeight="false" outlineLevel="0" collapsed="false">
      <c r="A404" s="0" t="s">
        <v>2977</v>
      </c>
      <c r="B404" s="0" t="n">
        <f aca="false">(D254*$B$297*$C$297*0.47)+(E254*$B$298*$C$298*0.51)+(F254*$B$299*$C$299*0.51)+(G254*$B$300*$C$300*0.52)+(K254*$B$303*$C$303*0.61)+(L254*$B$305*$C$305*0.66)+(J254*$B$304*$C$304*0.66)</f>
        <v>427.424</v>
      </c>
      <c r="C404" s="0" t="n">
        <f aca="false">(D254*$B$297*$D$297*0.47)+(E254*$B$298*$D$298*0.51)+(F254*$B$299*$D$299*0.51)+(G254*$B$300*$D$300*0.52)+(K254*$B$303*$D$303*0.61)+(L254*$B$305*$D$305*0.66)+(J254*$B$304*$D$304*0.66)</f>
        <v>475.042</v>
      </c>
      <c r="D404" s="0" t="n">
        <f aca="false">(D254*$B$297*$E$297*0.47)+(E254*$B$298*$E$298*0.51)+(F254*$B$299*$E$299*0.51)+(G254*$B$300*$E$300*0.52)+(K254*$B$303*$E$303*0.61)+(L254*$B$305*$E$305*0.66)+(J254*$B$304*$E$304*0.66)</f>
        <v>565.636</v>
      </c>
    </row>
    <row r="405" customFormat="false" ht="14.4" hidden="false" customHeight="false" outlineLevel="0" collapsed="false">
      <c r="A405" s="0" t="s">
        <v>2978</v>
      </c>
      <c r="B405" s="0" t="n">
        <f aca="false">(D255*$B$297*$C$297*0.47)+(E255*$B$298*$C$298*0.51)+(F255*$B$299*$C$299*0.51)+(G255*$B$300*$C$300*0.52)+(K255*$B$303*$C$303*0.61)+(L255*$B$305*$C$305*0.66)+(J255*$B$304*$C$304*0.66)</f>
        <v>340.768</v>
      </c>
      <c r="C405" s="0" t="n">
        <f aca="false">(D255*$B$297*$D$297*0.47)+(E255*$B$298*$D$298*0.51)+(F255*$B$299*$D$299*0.51)+(G255*$B$300*$D$300*0.52)+(K255*$B$303*$D$303*0.61)+(L255*$B$305*$D$305*0.66)+(J255*$B$304*$D$304*0.66)</f>
        <v>454.235</v>
      </c>
      <c r="D405" s="0" t="n">
        <f aca="false">(D255*$B$297*$E$297*0.47)+(E255*$B$298*$E$298*0.51)+(F255*$B$299*$E$299*0.51)+(G255*$B$300*$E$300*0.52)+(K255*$B$303*$E$303*0.61)+(L255*$B$305*$E$305*0.66)+(J255*$B$304*$E$304*0.66)</f>
        <v>538.82</v>
      </c>
    </row>
    <row r="406" customFormat="false" ht="14.4" hidden="false" customHeight="false" outlineLevel="0" collapsed="false">
      <c r="A406" s="0" t="s">
        <v>2979</v>
      </c>
      <c r="B406" s="0" t="n">
        <f aca="false">(D256*$B$297*$C$297*0.47)+(E256*$B$298*$C$298*0.51)+(F256*$B$299*$C$299*0.51)+(G256*$B$300*$C$300*0.52)+(K256*$B$303*$C$303*0.61)+(L256*$B$305*$C$305*0.66)+(J256*$B$304*$C$304*0.66)</f>
        <v>0</v>
      </c>
      <c r="C406" s="0" t="n">
        <f aca="false">(D256*$B$297*$D$297*0.47)+(E256*$B$298*$D$298*0.51)+(F256*$B$299*$D$299*0.51)+(G256*$B$300*$D$300*0.52)+(K256*$B$303*$D$303*0.61)+(L256*$B$305*$D$305*0.66)+(J256*$B$304*$D$304*0.66)</f>
        <v>0</v>
      </c>
      <c r="D406" s="0" t="n">
        <f aca="false">(D256*$B$297*$E$297*0.47)+(E256*$B$298*$E$298*0.51)+(F256*$B$299*$E$299*0.51)+(G256*$B$300*$E$300*0.52)+(K256*$B$303*$E$303*0.61)+(L256*$B$305*$E$305*0.66)+(J256*$B$304*$E$304*0.66)</f>
        <v>0</v>
      </c>
    </row>
    <row r="407" customFormat="false" ht="14.4" hidden="false" customHeight="false" outlineLevel="0" collapsed="false">
      <c r="A407" s="0" t="s">
        <v>2980</v>
      </c>
      <c r="B407" s="0" t="n">
        <f aca="false">(D257*$B$297*$C$297*0.47)+(E257*$B$298*$C$298*0.51)+(F257*$B$299*$C$299*0.51)+(G257*$B$300*$C$300*0.52)+(K257*$B$303*$C$303*0.61)+(L257*$B$305*$C$305*0.66)+(J257*$B$304*$C$304*0.66)</f>
        <v>504.432</v>
      </c>
      <c r="C407" s="0" t="n">
        <f aca="false">(D257*$B$297*$D$297*0.47)+(E257*$B$298*$D$298*0.51)+(F257*$B$299*$D$299*0.51)+(G257*$B$300*$D$300*0.52)+(K257*$B$303*$D$303*0.61)+(L257*$B$305*$D$305*0.66)+(J257*$B$304*$D$304*0.66)</f>
        <v>646.488</v>
      </c>
      <c r="D407" s="0" t="n">
        <f aca="false">(D257*$B$297*$E$297*0.47)+(E257*$B$298*$E$298*0.51)+(F257*$B$299*$E$299*0.51)+(G257*$B$300*$E$300*0.52)+(K257*$B$303*$E$303*0.61)+(L257*$B$305*$E$305*0.66)+(J257*$B$304*$E$304*0.66)</f>
        <v>780.12</v>
      </c>
    </row>
    <row r="408" customFormat="false" ht="14.4" hidden="false" customHeight="false" outlineLevel="0" collapsed="false">
      <c r="A408" s="0" t="s">
        <v>2981</v>
      </c>
      <c r="B408" s="0" t="n">
        <f aca="false">(D258*$B$297*$C$297*0.47)+(E258*$B$298*$C$298*0.51)+(F258*$B$299*$C$299*0.51)+(G258*$B$300*$C$300*0.52)+(K258*$B$303*$C$303*0.61)+(L258*$B$305*$C$305*0.66)+(J258*$B$304*$C$304*0.66)</f>
        <v>340.768</v>
      </c>
      <c r="C408" s="0" t="n">
        <f aca="false">(D258*$B$297*$D$297*0.47)+(E258*$B$298*$D$298*0.51)+(F258*$B$299*$D$299*0.51)+(G258*$B$300*$D$300*0.52)+(K258*$B$303*$D$303*0.61)+(L258*$B$305*$D$305*0.66)+(J258*$B$304*$D$304*0.66)</f>
        <v>454.235</v>
      </c>
      <c r="D408" s="0" t="n">
        <f aca="false">(D258*$B$297*$E$297*0.47)+(E258*$B$298*$E$298*0.51)+(F258*$B$299*$E$299*0.51)+(G258*$B$300*$E$300*0.52)+(K258*$B$303*$E$303*0.61)+(L258*$B$305*$E$305*0.66)+(J258*$B$304*$E$304*0.66)</f>
        <v>538.82</v>
      </c>
    </row>
    <row r="409" customFormat="false" ht="14.4" hidden="false" customHeight="false" outlineLevel="0" collapsed="false">
      <c r="A409" s="0" t="s">
        <v>2982</v>
      </c>
      <c r="B409" s="0" t="n">
        <f aca="false">(D259*$B$297*$C$297*0.47)+(E259*$B$298*$C$298*0.51)+(F259*$B$299*$C$299*0.51)+(G259*$B$300*$C$300*0.52)+(K259*$B$303*$C$303*0.61)+(L259*$B$305*$C$305*0.66)+(J259*$B$304*$C$304*0.66)</f>
        <v>293.76</v>
      </c>
      <c r="C409" s="0" t="n">
        <f aca="false">(D259*$B$297*$D$297*0.47)+(E259*$B$298*$D$298*0.51)+(F259*$B$299*$D$299*0.51)+(G259*$B$300*$D$300*0.52)+(K259*$B$303*$D$303*0.61)+(L259*$B$305*$D$305*0.66)+(J259*$B$304*$D$304*0.66)</f>
        <v>330.48</v>
      </c>
      <c r="D409" s="0" t="n">
        <f aca="false">(D259*$B$297*$E$297*0.47)+(E259*$B$298*$E$298*0.51)+(F259*$B$299*$E$299*0.51)+(G259*$B$300*$E$300*0.52)+(K259*$B$303*$E$303*0.61)+(L259*$B$305*$E$305*0.66)+(J259*$B$304*$E$304*0.66)</f>
        <v>403.92</v>
      </c>
    </row>
    <row r="410" customFormat="false" ht="14.4" hidden="false" customHeight="false" outlineLevel="0" collapsed="false">
      <c r="A410" s="0" t="s">
        <v>2983</v>
      </c>
      <c r="B410" s="0" t="n">
        <f aca="false">(D260*$B$297*$C$297*0.47)+(E260*$B$298*$C$298*0.51)+(F260*$B$299*$C$299*0.51)+(G260*$B$300*$C$300*0.52)+(K260*$B$303*$C$303*0.61)+(L260*$B$305*$C$305*0.66)+(J260*$B$304*$C$304*0.66)</f>
        <v>0</v>
      </c>
      <c r="C410" s="0" t="n">
        <f aca="false">(D260*$B$297*$D$297*0.47)+(E260*$B$298*$D$298*0.51)+(F260*$B$299*$D$299*0.51)+(G260*$B$300*$D$300*0.52)+(K260*$B$303*$D$303*0.61)+(L260*$B$305*$D$305*0.66)+(J260*$B$304*$D$304*0.66)</f>
        <v>0</v>
      </c>
      <c r="D410" s="0" t="n">
        <f aca="false">(D260*$B$297*$E$297*0.47)+(E260*$B$298*$E$298*0.51)+(F260*$B$299*$E$299*0.51)+(G260*$B$300*$E$300*0.52)+(K260*$B$303*$E$303*0.61)+(L260*$B$305*$E$305*0.66)+(J260*$B$304*$E$304*0.66)</f>
        <v>0</v>
      </c>
    </row>
    <row r="411" customFormat="false" ht="14.4" hidden="false" customHeight="false" outlineLevel="0" collapsed="false">
      <c r="A411" s="0" t="s">
        <v>2984</v>
      </c>
      <c r="B411" s="0" t="n">
        <f aca="false">(D261*$B$297*$C$297*0.47)+(E261*$B$298*$C$298*0.51)+(F261*$B$299*$C$299*0.51)+(G261*$B$300*$C$300*0.52)+(K261*$B$303*$C$303*0.61)+(L261*$B$305*$C$305*0.66)+(J261*$B$304*$C$304*0.66)</f>
        <v>293.76</v>
      </c>
      <c r="C411" s="0" t="n">
        <f aca="false">(D261*$B$297*$D$297*0.47)+(E261*$B$298*$D$298*0.51)+(F261*$B$299*$D$299*0.51)+(G261*$B$300*$D$300*0.52)+(K261*$B$303*$D$303*0.61)+(L261*$B$305*$D$305*0.66)+(J261*$B$304*$D$304*0.66)</f>
        <v>330.48</v>
      </c>
      <c r="D411" s="0" t="n">
        <f aca="false">(D261*$B$297*$E$297*0.47)+(E261*$B$298*$E$298*0.51)+(F261*$B$299*$E$299*0.51)+(G261*$B$300*$E$300*0.52)+(K261*$B$303*$E$303*0.61)+(L261*$B$305*$E$305*0.66)+(J261*$B$304*$E$304*0.66)</f>
        <v>403.92</v>
      </c>
    </row>
    <row r="412" customFormat="false" ht="14.4" hidden="false" customHeight="false" outlineLevel="0" collapsed="false">
      <c r="A412" s="0" t="s">
        <v>2985</v>
      </c>
      <c r="B412" s="0" t="n">
        <f aca="false">(D262*$B$297*$C$297*0.47)+(E262*$B$298*$C$298*0.51)+(F262*$B$299*$C$299*0.51)+(G262*$B$300*$C$300*0.52)+(K262*$B$303*$C$303*0.61)+(L262*$B$305*$C$305*0.66)+(J262*$B$304*$C$304*0.66)</f>
        <v>146.88</v>
      </c>
      <c r="C412" s="0" t="n">
        <f aca="false">(D262*$B$297*$D$297*0.47)+(E262*$B$298*$D$298*0.51)+(F262*$B$299*$D$299*0.51)+(G262*$B$300*$D$300*0.52)+(K262*$B$303*$D$303*0.61)+(L262*$B$305*$D$305*0.66)+(J262*$B$304*$D$304*0.66)</f>
        <v>165.24</v>
      </c>
      <c r="D412" s="0" t="n">
        <f aca="false">(D262*$B$297*$E$297*0.47)+(E262*$B$298*$E$298*0.51)+(F262*$B$299*$E$299*0.51)+(G262*$B$300*$E$300*0.52)+(K262*$B$303*$E$303*0.61)+(L262*$B$305*$E$305*0.66)+(J262*$B$304*$E$304*0.66)</f>
        <v>201.96</v>
      </c>
    </row>
    <row r="413" customFormat="false" ht="14.4" hidden="false" customHeight="false" outlineLevel="0" collapsed="false">
      <c r="A413" s="0" t="s">
        <v>359</v>
      </c>
      <c r="B413" s="0" t="n">
        <f aca="false">(D263*$B$297*$C$297*0.47)+(E263*$B$298*$C$298*0.51)+(F263*$B$299*$C$299*0.51)+(G263*$B$300*$C$300*0.52)+(K263*$B$303*$C$303*0.61)+(L263*$B$305*$C$305*0.66)+(J263*$B$304*$C$304*0.66)</f>
        <v>196.2675</v>
      </c>
      <c r="C413" s="0" t="n">
        <f aca="false">(D263*$B$297*$D$297*0.47)+(E263*$B$298*$D$298*0.51)+(F263*$B$299*$D$299*0.51)+(G263*$B$300*$D$300*0.52)+(K263*$B$303*$D$303*0.61)+(L263*$B$305*$D$305*0.66)+(J263*$B$304*$D$304*0.66)</f>
        <v>261.69</v>
      </c>
      <c r="D413" s="0" t="n">
        <f aca="false">(D263*$B$297*$E$297*0.47)+(E263*$B$298*$E$298*0.51)+(F263*$B$299*$E$299*0.51)+(G263*$B$300*$E$300*0.52)+(K263*$B$303*$E$303*0.61)+(L263*$B$305*$E$305*0.66)+(J263*$B$304*$E$304*0.66)</f>
        <v>314.028</v>
      </c>
    </row>
    <row r="414" customFormat="false" ht="14.4" hidden="false" customHeight="false" outlineLevel="0" collapsed="false">
      <c r="A414" s="0" t="s">
        <v>2986</v>
      </c>
      <c r="B414" s="0" t="n">
        <f aca="false">(D264*$B$297*$C$297*0.47)+(E264*$B$298*$C$298*0.51)+(F264*$B$299*$C$299*0.51)+(G264*$B$300*$C$300*0.52)+(K264*$B$303*$C$303*0.61)+(L264*$B$305*$C$305*0.66)+(J264*$B$304*$C$304*0.66)</f>
        <v>0</v>
      </c>
      <c r="C414" s="0" t="n">
        <f aca="false">(D264*$B$297*$D$297*0.47)+(E264*$B$298*$D$298*0.51)+(F264*$B$299*$D$299*0.51)+(G264*$B$300*$D$300*0.52)+(K264*$B$303*$D$303*0.61)+(L264*$B$305*$D$305*0.66)+(J264*$B$304*$D$304*0.66)</f>
        <v>0</v>
      </c>
      <c r="D414" s="0" t="n">
        <f aca="false">(D264*$B$297*$E$297*0.47)+(E264*$B$298*$E$298*0.51)+(F264*$B$299*$E$299*0.51)+(G264*$B$300*$E$300*0.52)+(K264*$B$303*$E$303*0.61)+(L264*$B$305*$E$305*0.66)+(J264*$B$304*$E$304*0.66)</f>
        <v>0</v>
      </c>
    </row>
    <row r="415" customFormat="false" ht="14.4" hidden="false" customHeight="false" outlineLevel="0" collapsed="false">
      <c r="A415" s="0" t="s">
        <v>257</v>
      </c>
      <c r="B415" s="0" t="n">
        <f aca="false">(D265*$B$297*$C$297*0.47)+(E265*$B$298*$C$298*0.51)+(F265*$B$299*$C$299*0.51)+(G265*$B$300*$C$300*0.52)+(K265*$B$303*$C$303*0.61)+(L265*$B$305*$C$305*0.66)+(J265*$B$304*$C$304*0.66)</f>
        <v>310.08</v>
      </c>
      <c r="C415" s="0" t="n">
        <f aca="false">(D265*$B$297*$D$297*0.47)+(E265*$B$298*$D$298*0.51)+(F265*$B$299*$D$299*0.51)+(G265*$B$300*$D$300*0.52)+(K265*$B$303*$D$303*0.61)+(L265*$B$305*$D$305*0.66)+(J265*$B$304*$D$304*0.66)</f>
        <v>348.84</v>
      </c>
      <c r="D415" s="0" t="n">
        <f aca="false">(D265*$B$297*$E$297*0.47)+(E265*$B$298*$E$298*0.51)+(F265*$B$299*$E$299*0.51)+(G265*$B$300*$E$300*0.52)+(K265*$B$303*$E$303*0.61)+(L265*$B$305*$E$305*0.66)+(J265*$B$304*$E$304*0.66)</f>
        <v>426.36</v>
      </c>
    </row>
    <row r="416" customFormat="false" ht="14.4" hidden="false" customHeight="false" outlineLevel="0" collapsed="false">
      <c r="A416" s="0" t="s">
        <v>2987</v>
      </c>
      <c r="B416" s="0" t="n">
        <f aca="false">(D266*$B$297*$C$297*0.47)+(E266*$B$298*$C$298*0.51)+(F266*$B$299*$C$299*0.51)+(G266*$B$300*$C$300*0.52)+(K266*$B$303*$C$303*0.61)+(L266*$B$305*$C$305*0.66)+(J266*$B$304*$C$304*0.66)</f>
        <v>0</v>
      </c>
      <c r="C416" s="0" t="n">
        <f aca="false">(D266*$B$297*$D$297*0.47)+(E266*$B$298*$D$298*0.51)+(F266*$B$299*$D$299*0.51)+(G266*$B$300*$D$300*0.52)+(K266*$B$303*$D$303*0.61)+(L266*$B$305*$D$305*0.66)+(J266*$B$304*$D$304*0.66)</f>
        <v>0</v>
      </c>
      <c r="D416" s="0" t="n">
        <f aca="false">(D266*$B$297*$E$297*0.47)+(E266*$B$298*$E$298*0.51)+(F266*$B$299*$E$299*0.51)+(G266*$B$300*$E$300*0.52)+(K266*$B$303*$E$303*0.61)+(L266*$B$305*$E$305*0.66)+(J266*$B$304*$E$304*0.66)</f>
        <v>0</v>
      </c>
    </row>
    <row r="417" customFormat="false" ht="14.4" hidden="false" customHeight="false" outlineLevel="0" collapsed="false">
      <c r="A417" s="0" t="s">
        <v>310</v>
      </c>
      <c r="B417" s="0" t="n">
        <f aca="false">(D267*$B$297*$C$297*0.47)+(E267*$B$298*$C$298*0.51)+(F267*$B$299*$C$299*0.51)+(G267*$B$300*$C$300*0.52)+(K267*$B$303*$C$303*0.61)+(L267*$B$305*$C$305*0.66)+(J267*$B$304*$C$304*0.66)</f>
        <v>146.88</v>
      </c>
      <c r="C417" s="0" t="n">
        <f aca="false">(D267*$B$297*$D$297*0.47)+(E267*$B$298*$D$298*0.51)+(F267*$B$299*$D$299*0.51)+(G267*$B$300*$D$300*0.52)+(K267*$B$303*$D$303*0.61)+(L267*$B$305*$D$305*0.66)+(J267*$B$304*$D$304*0.66)</f>
        <v>165.24</v>
      </c>
      <c r="D417" s="0" t="n">
        <f aca="false">(D267*$B$297*$E$297*0.47)+(E267*$B$298*$E$298*0.51)+(F267*$B$299*$E$299*0.51)+(G267*$B$300*$E$300*0.52)+(K267*$B$303*$E$303*0.61)+(L267*$B$305*$E$305*0.66)+(J267*$B$304*$E$304*0.66)</f>
        <v>201.96</v>
      </c>
    </row>
    <row r="419" customFormat="false" ht="14.4" hidden="false" customHeight="false" outlineLevel="0" collapsed="false">
      <c r="A419" s="144" t="s">
        <v>97</v>
      </c>
      <c r="B419" s="144" t="s">
        <v>138</v>
      </c>
      <c r="C419" s="144" t="s">
        <v>140</v>
      </c>
      <c r="D419" s="144" t="s">
        <v>142</v>
      </c>
    </row>
    <row r="420" customFormat="false" ht="14.4" hidden="false" customHeight="false" outlineLevel="0" collapsed="false">
      <c r="A420" s="0" t="s">
        <v>2997</v>
      </c>
      <c r="B420" s="0" t="n">
        <f aca="false">E278*F278*$B$308</f>
        <v>633.6</v>
      </c>
      <c r="C420" s="0" t="n">
        <f aca="false">E278*F278*$B$309</f>
        <v>871.2</v>
      </c>
      <c r="D420" s="0" t="n">
        <f aca="false">E278*F278*$B$310</f>
        <v>1029.6</v>
      </c>
    </row>
    <row r="421" customFormat="false" ht="14.4" hidden="false" customHeight="false" outlineLevel="0" collapsed="false">
      <c r="A421" s="0" t="s">
        <v>2998</v>
      </c>
      <c r="B421" s="0" t="n">
        <f aca="false">E279*F279*$B$308</f>
        <v>624</v>
      </c>
      <c r="C421" s="0" t="n">
        <f aca="false">E279*F279*$B$309</f>
        <v>858</v>
      </c>
      <c r="D421" s="0" t="n">
        <f aca="false">E279*F279*$B$310</f>
        <v>1014</v>
      </c>
    </row>
    <row r="422" customFormat="false" ht="14.4" hidden="false" customHeight="false" outlineLevel="0" collapsed="false">
      <c r="A422" s="0" t="s">
        <v>2999</v>
      </c>
      <c r="B422" s="0" t="n">
        <f aca="false">E280*F280*$B$308</f>
        <v>691.2</v>
      </c>
      <c r="C422" s="0" t="n">
        <f aca="false">E280*F280*$B$309</f>
        <v>950.4</v>
      </c>
      <c r="D422" s="0" t="n">
        <f aca="false">E280*F280*$B$310</f>
        <v>1123.2</v>
      </c>
    </row>
    <row r="423" customFormat="false" ht="14.4" hidden="false" customHeight="false" outlineLevel="0" collapsed="false">
      <c r="A423" s="0" t="s">
        <v>3000</v>
      </c>
      <c r="B423" s="0" t="n">
        <f aca="false">E281*F281*$B$308</f>
        <v>460.8</v>
      </c>
      <c r="C423" s="0" t="n">
        <f aca="false">E281*F281*$B$309</f>
        <v>633.6</v>
      </c>
      <c r="D423" s="0" t="n">
        <f aca="false">E281*F281*$B$310</f>
        <v>748.8</v>
      </c>
    </row>
    <row r="424" customFormat="false" ht="14.4" hidden="false" customHeight="false" outlineLevel="0" collapsed="false">
      <c r="A424" s="0" t="s">
        <v>258</v>
      </c>
      <c r="B424" s="0" t="n">
        <f aca="false">E282*F282*$B$308</f>
        <v>691.2</v>
      </c>
      <c r="C424" s="0" t="n">
        <f aca="false">E282*F282*$B$309</f>
        <v>950.4</v>
      </c>
      <c r="D424" s="0" t="n">
        <f aca="false">E282*F282*$B$310</f>
        <v>1123.2</v>
      </c>
    </row>
    <row r="425" customFormat="false" ht="14.4" hidden="false" customHeight="false" outlineLevel="0" collapsed="false">
      <c r="A425" s="0" t="s">
        <v>3001</v>
      </c>
      <c r="B425" s="0" t="n">
        <f aca="false">E283*F283*$B$308</f>
        <v>460.8</v>
      </c>
      <c r="C425" s="0" t="n">
        <f aca="false">E283*F283*$B$309</f>
        <v>633.6</v>
      </c>
      <c r="D425" s="0" t="n">
        <f aca="false">E283*F283*$B$310</f>
        <v>748.8</v>
      </c>
    </row>
    <row r="426" customFormat="false" ht="14.4" hidden="false" customHeight="false" outlineLevel="0" collapsed="false">
      <c r="A426" s="0" t="s">
        <v>3002</v>
      </c>
      <c r="B426" s="0" t="n">
        <f aca="false">E284*F284*$B$308</f>
        <v>262.4</v>
      </c>
      <c r="C426" s="0" t="n">
        <f aca="false">E284*F284*$B$309</f>
        <v>360.8</v>
      </c>
      <c r="D426" s="0" t="n">
        <f aca="false">E284*F284*$B$310</f>
        <v>426.4</v>
      </c>
    </row>
    <row r="427" customFormat="false" ht="14.4" hidden="false" customHeight="false" outlineLevel="0" collapsed="false">
      <c r="A427" s="0" t="s">
        <v>3003</v>
      </c>
      <c r="B427" s="0" t="n">
        <f aca="false">E285*F285*$B$308</f>
        <v>576</v>
      </c>
      <c r="C427" s="0" t="n">
        <f aca="false">E285*F285*$B$309</f>
        <v>792</v>
      </c>
      <c r="D427" s="0" t="n">
        <f aca="false">E285*F285*$B$310</f>
        <v>936</v>
      </c>
    </row>
    <row r="428" customFormat="false" ht="14.4" hidden="false" customHeight="false" outlineLevel="0" collapsed="false">
      <c r="A428" s="0" t="s">
        <v>3004</v>
      </c>
      <c r="B428" s="0" t="n">
        <f aca="false">E286*F286*$B$308</f>
        <v>344</v>
      </c>
      <c r="C428" s="0" t="n">
        <f aca="false">E286*F286*$B$309</f>
        <v>473</v>
      </c>
      <c r="D428" s="0" t="n">
        <f aca="false">E286*F286*$B$310</f>
        <v>559</v>
      </c>
    </row>
    <row r="429" customFormat="false" ht="14.4" hidden="false" customHeight="false" outlineLevel="0" collapsed="false">
      <c r="A429" s="0" t="s">
        <v>3005</v>
      </c>
      <c r="B429" s="0" t="n">
        <f aca="false">E287*F287*$B$308</f>
        <v>691.2</v>
      </c>
      <c r="C429" s="0" t="n">
        <f aca="false">E287*F287*$B$309</f>
        <v>950.4</v>
      </c>
      <c r="D429" s="0" t="n">
        <f aca="false">E287*F287*$B$310</f>
        <v>1123.2</v>
      </c>
    </row>
    <row r="430" customFormat="false" ht="14.4" hidden="false" customHeight="false" outlineLevel="0" collapsed="false">
      <c r="A430" s="0" t="s">
        <v>3006</v>
      </c>
      <c r="B430" s="0" t="n">
        <f aca="false">E288*F288*$B$308</f>
        <v>820.8</v>
      </c>
      <c r="C430" s="0" t="n">
        <f aca="false">E288*F288*$B$309</f>
        <v>1128.6</v>
      </c>
      <c r="D430" s="0" t="n">
        <f aca="false">E288*F288*$B$310</f>
        <v>1333.8</v>
      </c>
    </row>
    <row r="431" customFormat="false" ht="14.4" hidden="false" customHeight="false" outlineLevel="0" collapsed="false">
      <c r="A431" s="0" t="s">
        <v>3007</v>
      </c>
      <c r="B431" s="0" t="n">
        <f aca="false">E289*F289*$B$308</f>
        <v>473.6</v>
      </c>
      <c r="C431" s="0" t="n">
        <f aca="false">E289*F289*$B$309</f>
        <v>651.2</v>
      </c>
      <c r="D431" s="0" t="n">
        <f aca="false">E289*F289*$B$310</f>
        <v>769.6</v>
      </c>
    </row>
    <row r="432" customFormat="false" ht="14.4" hidden="false" customHeight="false" outlineLevel="0" collapsed="false">
      <c r="A432" s="0" t="s">
        <v>3008</v>
      </c>
      <c r="B432" s="0" t="n">
        <f aca="false">E290*F290*$B$308</f>
        <v>808.8</v>
      </c>
      <c r="C432" s="0" t="n">
        <f aca="false">E290*F290*$B$309</f>
        <v>1112.1</v>
      </c>
      <c r="D432" s="0" t="n">
        <f aca="false">E290*F290*$B$310</f>
        <v>1314.3</v>
      </c>
    </row>
    <row r="433" customFormat="false" ht="14.4" hidden="false" customHeight="false" outlineLevel="0" collapsed="false">
      <c r="A433" s="0" t="s">
        <v>3009</v>
      </c>
      <c r="B433" s="0" t="n">
        <f aca="false">E291*F291*$B$308</f>
        <v>691.2</v>
      </c>
      <c r="C433" s="0" t="n">
        <f aca="false">E291*F291*$B$309</f>
        <v>950.4</v>
      </c>
      <c r="D433" s="0" t="n">
        <f aca="false">E291*F291*$B$310</f>
        <v>1123.2</v>
      </c>
    </row>
    <row r="434" customFormat="false" ht="14.4" hidden="false" customHeight="false" outlineLevel="0" collapsed="false">
      <c r="A434" s="0" t="s">
        <v>3010</v>
      </c>
      <c r="B434" s="0" t="n">
        <f aca="false">E292*F292*$B$308</f>
        <v>609.6</v>
      </c>
      <c r="C434" s="0" t="n">
        <f aca="false">E292*F292*$B$309</f>
        <v>838.2</v>
      </c>
      <c r="D434" s="0" t="n">
        <f aca="false">E292*F292*$B$310</f>
        <v>990.6</v>
      </c>
    </row>
    <row r="435" customFormat="false" ht="14.4" hidden="false" customHeight="false" outlineLevel="0" collapsed="false">
      <c r="A435" s="0" t="s">
        <v>3011</v>
      </c>
      <c r="B435" s="0" t="n">
        <f aca="false">E293*F293*$B$308</f>
        <v>921.6</v>
      </c>
      <c r="C435" s="0" t="n">
        <f aca="false">E293*F293*$B$309</f>
        <v>1267.2</v>
      </c>
      <c r="D435" s="0" t="n">
        <f aca="false">E293*F293*$B$310</f>
        <v>1497.6</v>
      </c>
    </row>
    <row r="436" customFormat="false" ht="14.4" hidden="false" customHeight="false" outlineLevel="0" collapsed="false">
      <c r="A436" s="0" t="s">
        <v>3012</v>
      </c>
      <c r="B436" s="0" t="n">
        <f aca="false">E294*F294*$B$308</f>
        <v>1088</v>
      </c>
      <c r="C436" s="0" t="n">
        <f aca="false">E294*F294*$B$309</f>
        <v>1496</v>
      </c>
      <c r="D436" s="0" t="n">
        <f aca="false">E294*F294*$B$310</f>
        <v>1768</v>
      </c>
    </row>
    <row r="438" customFormat="false" ht="14.4" hidden="false" customHeight="false" outlineLevel="0" collapsed="false">
      <c r="A438" s="144" t="s">
        <v>97</v>
      </c>
      <c r="B438" s="144" t="s">
        <v>3049</v>
      </c>
      <c r="C438" s="144" t="s">
        <v>99</v>
      </c>
      <c r="D438" s="144" t="s">
        <v>157</v>
      </c>
      <c r="E438" s="144" t="s">
        <v>163</v>
      </c>
      <c r="F438" s="144" t="s">
        <v>150</v>
      </c>
      <c r="G438" s="144" t="s">
        <v>2749</v>
      </c>
      <c r="H438" s="144" t="s">
        <v>2863</v>
      </c>
      <c r="I438" s="144" t="s">
        <v>2751</v>
      </c>
      <c r="J438" s="144" t="s">
        <v>141</v>
      </c>
      <c r="K438" s="144" t="s">
        <v>3050</v>
      </c>
      <c r="L438" s="144" t="s">
        <v>2891</v>
      </c>
    </row>
    <row r="439" customFormat="false" ht="14.4" hidden="false" customHeight="false" outlineLevel="0" collapsed="false">
      <c r="A439" s="0" t="s">
        <v>3051</v>
      </c>
      <c r="B439" s="0" t="s">
        <v>3052</v>
      </c>
      <c r="C439" s="0" t="n">
        <v>25</v>
      </c>
      <c r="D439" s="0" t="n">
        <v>135</v>
      </c>
      <c r="E439" s="0" t="n">
        <v>2</v>
      </c>
      <c r="F439" s="0" t="n">
        <v>15.3</v>
      </c>
      <c r="H439" s="0" t="s">
        <v>2773</v>
      </c>
      <c r="I439" s="0" t="s">
        <v>3053</v>
      </c>
      <c r="J439" s="0" t="s">
        <v>2602</v>
      </c>
      <c r="K439" s="0" t="s">
        <v>3054</v>
      </c>
    </row>
    <row r="440" customFormat="false" ht="14.4" hidden="false" customHeight="false" outlineLevel="0" collapsed="false">
      <c r="A440" s="0" t="s">
        <v>3055</v>
      </c>
      <c r="B440" s="0" t="s">
        <v>3052</v>
      </c>
      <c r="C440" s="0" t="n">
        <v>25</v>
      </c>
      <c r="D440" s="0" t="n">
        <v>144</v>
      </c>
      <c r="E440" s="0" t="n">
        <v>2</v>
      </c>
      <c r="F440" s="0" t="n">
        <v>14.63</v>
      </c>
      <c r="H440" s="0" t="s">
        <v>2773</v>
      </c>
      <c r="I440" s="0" t="s">
        <v>3053</v>
      </c>
      <c r="J440" s="0" t="s">
        <v>2602</v>
      </c>
    </row>
    <row r="441" customFormat="false" ht="14.4" hidden="false" customHeight="false" outlineLevel="0" collapsed="false">
      <c r="A441" s="0" t="s">
        <v>3056</v>
      </c>
      <c r="B441" s="0" t="s">
        <v>3057</v>
      </c>
      <c r="C441" s="0" t="n">
        <v>45</v>
      </c>
      <c r="D441" s="0" t="n">
        <v>160</v>
      </c>
      <c r="E441" s="0" t="n">
        <v>2</v>
      </c>
      <c r="F441" s="0" t="n">
        <v>13.3</v>
      </c>
      <c r="H441" s="0" t="s">
        <v>2773</v>
      </c>
      <c r="I441" s="0" t="s">
        <v>3053</v>
      </c>
      <c r="J441" s="0" t="s">
        <v>2885</v>
      </c>
    </row>
    <row r="442" customFormat="false" ht="14.4" hidden="false" customHeight="false" outlineLevel="0" collapsed="false">
      <c r="A442" s="0" t="s">
        <v>3058</v>
      </c>
      <c r="B442" s="0" t="s">
        <v>3052</v>
      </c>
      <c r="C442" s="0" t="n">
        <v>25</v>
      </c>
      <c r="D442" s="0" t="n">
        <v>131</v>
      </c>
      <c r="E442" s="0" t="n">
        <v>3</v>
      </c>
      <c r="F442" s="0" t="n">
        <v>25.94</v>
      </c>
      <c r="H442" s="0" t="s">
        <v>2773</v>
      </c>
      <c r="I442" s="0" t="s">
        <v>3053</v>
      </c>
      <c r="J442" s="0" t="s">
        <v>2602</v>
      </c>
    </row>
    <row r="443" customFormat="false" ht="14.4" hidden="false" customHeight="false" outlineLevel="0" collapsed="false">
      <c r="A443" s="0" t="s">
        <v>333</v>
      </c>
      <c r="B443" s="0" t="s">
        <v>3057</v>
      </c>
      <c r="C443" s="0" t="n">
        <v>45</v>
      </c>
      <c r="D443" s="0" t="n">
        <v>181</v>
      </c>
      <c r="E443" s="0" t="n">
        <v>3</v>
      </c>
      <c r="F443" s="0" t="n">
        <v>24.61</v>
      </c>
      <c r="H443" s="0" t="s">
        <v>2773</v>
      </c>
      <c r="I443" s="0" t="s">
        <v>3053</v>
      </c>
      <c r="J443" s="0" t="s">
        <v>2602</v>
      </c>
    </row>
    <row r="444" customFormat="false" ht="14.4" hidden="false" customHeight="false" outlineLevel="0" collapsed="false">
      <c r="A444" s="0" t="s">
        <v>3059</v>
      </c>
      <c r="B444" s="0" t="s">
        <v>3052</v>
      </c>
      <c r="C444" s="0" t="n">
        <v>25</v>
      </c>
      <c r="D444" s="0" t="n">
        <v>150</v>
      </c>
      <c r="E444" s="0" t="n">
        <v>2</v>
      </c>
      <c r="F444" s="0" t="n">
        <v>15.96</v>
      </c>
      <c r="H444" s="0" t="s">
        <v>2773</v>
      </c>
      <c r="I444" s="0" t="s">
        <v>3060</v>
      </c>
      <c r="J444" s="0" t="s">
        <v>2602</v>
      </c>
    </row>
    <row r="445" customFormat="false" ht="14.4" hidden="false" customHeight="false" outlineLevel="0" collapsed="false">
      <c r="A445" s="0" t="s">
        <v>332</v>
      </c>
      <c r="B445" s="0" t="s">
        <v>3057</v>
      </c>
      <c r="C445" s="0" t="n">
        <v>45</v>
      </c>
      <c r="D445" s="0" t="n">
        <v>174</v>
      </c>
      <c r="E445" s="0" t="n">
        <v>2</v>
      </c>
      <c r="F445" s="0" t="n">
        <v>14.63</v>
      </c>
      <c r="H445" s="0" t="s">
        <v>2773</v>
      </c>
      <c r="I445" s="0" t="s">
        <v>3053</v>
      </c>
      <c r="J445" s="0" t="s">
        <v>2602</v>
      </c>
    </row>
    <row r="446" customFormat="false" ht="14.4" hidden="false" customHeight="false" outlineLevel="0" collapsed="false">
      <c r="A446" s="0" t="s">
        <v>3061</v>
      </c>
      <c r="C446" s="0" t="n">
        <v>45</v>
      </c>
      <c r="D446" s="0" t="n">
        <v>139</v>
      </c>
      <c r="E446" s="0" t="n">
        <v>3</v>
      </c>
      <c r="F446" s="0" t="n">
        <v>18.54</v>
      </c>
      <c r="J446" s="0" t="s">
        <v>2602</v>
      </c>
    </row>
    <row r="447" customFormat="false" ht="14.4" hidden="false" customHeight="false" outlineLevel="0" collapsed="false">
      <c r="A447" s="0" t="s">
        <v>3062</v>
      </c>
      <c r="C447" s="0" t="n">
        <v>45</v>
      </c>
      <c r="D447" s="0" t="n">
        <v>171</v>
      </c>
      <c r="E447" s="0" t="n">
        <v>3</v>
      </c>
      <c r="F447" s="0" t="n">
        <v>21.82</v>
      </c>
      <c r="J447" s="0" t="s">
        <v>2869</v>
      </c>
    </row>
    <row r="448" customFormat="false" ht="14.4" hidden="false" customHeight="false" outlineLevel="0" collapsed="false">
      <c r="A448" s="0" t="s">
        <v>3063</v>
      </c>
      <c r="C448" s="0" t="n">
        <v>45</v>
      </c>
      <c r="D448" s="0" t="n">
        <v>149</v>
      </c>
      <c r="E448" s="0" t="n">
        <v>2</v>
      </c>
      <c r="F448" s="0" t="n">
        <v>12.52</v>
      </c>
      <c r="J448" s="0" t="s">
        <v>2869</v>
      </c>
    </row>
    <row r="449" customFormat="false" ht="14.4" hidden="false" customHeight="false" outlineLevel="0" collapsed="false">
      <c r="A449" s="0" t="s">
        <v>3064</v>
      </c>
      <c r="C449" s="0" t="n">
        <v>45</v>
      </c>
      <c r="D449" s="0" t="n">
        <v>180</v>
      </c>
      <c r="E449" s="0" t="n">
        <v>2</v>
      </c>
      <c r="F449" s="0" t="n">
        <v>14.91</v>
      </c>
      <c r="J449" s="0" t="s">
        <v>2602</v>
      </c>
    </row>
    <row r="451" customFormat="false" ht="14.4" hidden="false" customHeight="false" outlineLevel="0" collapsed="false">
      <c r="A451" s="144" t="s">
        <v>139</v>
      </c>
      <c r="B451" s="144" t="s">
        <v>3065</v>
      </c>
      <c r="C451" s="144" t="s">
        <v>157</v>
      </c>
      <c r="D451" s="144" t="s">
        <v>163</v>
      </c>
      <c r="E451" s="144" t="s">
        <v>130</v>
      </c>
      <c r="F451" s="144" t="s">
        <v>138</v>
      </c>
      <c r="G451" s="144" t="s">
        <v>140</v>
      </c>
      <c r="H451" s="144" t="s">
        <v>142</v>
      </c>
      <c r="I451" s="144" t="s">
        <v>141</v>
      </c>
      <c r="J451" s="144" t="s">
        <v>154</v>
      </c>
      <c r="K451" s="144" t="s">
        <v>150</v>
      </c>
    </row>
    <row r="452" customFormat="false" ht="14.4" hidden="false" customHeight="false" outlineLevel="0" collapsed="false">
      <c r="A452" s="0" t="s">
        <v>3066</v>
      </c>
      <c r="B452" s="0" t="s">
        <v>394</v>
      </c>
      <c r="C452" s="0" t="n">
        <v>8</v>
      </c>
      <c r="D452" s="0" t="n">
        <v>3</v>
      </c>
      <c r="E452" s="0" t="n">
        <v>1.25</v>
      </c>
      <c r="F452" s="0" t="n">
        <v>1.2</v>
      </c>
      <c r="G452" s="0" t="n">
        <v>0.6</v>
      </c>
      <c r="H452" s="0" t="n">
        <v>0.6</v>
      </c>
      <c r="I452" s="0" t="s">
        <v>2612</v>
      </c>
      <c r="J452" s="0" t="n">
        <v>0.3</v>
      </c>
      <c r="K452" s="0" t="n">
        <v>1.53</v>
      </c>
    </row>
    <row r="453" customFormat="false" ht="14.4" hidden="false" customHeight="false" outlineLevel="0" collapsed="false">
      <c r="A453" s="0" t="s">
        <v>3066</v>
      </c>
      <c r="B453" s="0" t="s">
        <v>121</v>
      </c>
      <c r="C453" s="0" t="n">
        <v>8</v>
      </c>
      <c r="D453" s="0" t="n">
        <v>3</v>
      </c>
      <c r="E453" s="0" t="n">
        <v>1.25</v>
      </c>
      <c r="F453" s="0" t="n">
        <v>1.2</v>
      </c>
      <c r="G453" s="0" t="n">
        <v>0.6</v>
      </c>
      <c r="H453" s="0" t="n">
        <v>0.6</v>
      </c>
      <c r="I453" s="0" t="s">
        <v>2612</v>
      </c>
      <c r="J453" s="0" t="n">
        <v>0.3</v>
      </c>
      <c r="K453" s="0" t="n">
        <v>1.53</v>
      </c>
    </row>
    <row r="455" customFormat="false" ht="14.4" hidden="false" customHeight="false" outlineLevel="0" collapsed="false">
      <c r="A455" s="198" t="s">
        <v>139</v>
      </c>
      <c r="B455" s="198" t="s">
        <v>3065</v>
      </c>
      <c r="C455" s="198" t="s">
        <v>157</v>
      </c>
      <c r="D455" s="198" t="s">
        <v>163</v>
      </c>
      <c r="E455" s="198" t="s">
        <v>130</v>
      </c>
      <c r="F455" s="198" t="s">
        <v>138</v>
      </c>
      <c r="G455" s="198" t="s">
        <v>140</v>
      </c>
      <c r="H455" s="198" t="s">
        <v>142</v>
      </c>
      <c r="I455" s="198" t="s">
        <v>141</v>
      </c>
      <c r="J455" s="198" t="s">
        <v>154</v>
      </c>
      <c r="K455" s="198" t="s">
        <v>150</v>
      </c>
    </row>
    <row r="456" customFormat="false" ht="14.4" hidden="false" customHeight="false" outlineLevel="0" collapsed="false">
      <c r="A456" s="199" t="s">
        <v>3067</v>
      </c>
      <c r="B456" s="199" t="s">
        <v>121</v>
      </c>
      <c r="C456" s="199" t="n">
        <v>8</v>
      </c>
      <c r="D456" s="199" t="n">
        <v>2</v>
      </c>
      <c r="E456" s="199" t="n">
        <v>1.25</v>
      </c>
      <c r="F456" s="199" t="n">
        <v>1.2</v>
      </c>
      <c r="G456" s="199" t="n">
        <v>0.6</v>
      </c>
      <c r="H456" s="199" t="n">
        <v>0.6</v>
      </c>
      <c r="I456" s="199" t="s">
        <v>2612</v>
      </c>
      <c r="J456" s="199" t="n">
        <v>0.15</v>
      </c>
      <c r="K456" s="199" t="n">
        <v>1.13</v>
      </c>
    </row>
    <row r="458" customFormat="false" ht="14.4" hidden="false" customHeight="false" outlineLevel="0" collapsed="false">
      <c r="A458" s="198" t="s">
        <v>139</v>
      </c>
      <c r="B458" s="198" t="s">
        <v>3065</v>
      </c>
      <c r="C458" s="198" t="s">
        <v>157</v>
      </c>
      <c r="D458" s="198" t="s">
        <v>163</v>
      </c>
      <c r="E458" s="198" t="s">
        <v>130</v>
      </c>
      <c r="F458" s="198" t="s">
        <v>138</v>
      </c>
      <c r="G458" s="198" t="s">
        <v>140</v>
      </c>
      <c r="H458" s="198" t="s">
        <v>142</v>
      </c>
      <c r="I458" s="198" t="s">
        <v>141</v>
      </c>
      <c r="J458" s="198" t="s">
        <v>154</v>
      </c>
      <c r="K458" s="198" t="s">
        <v>150</v>
      </c>
    </row>
    <row r="459" customFormat="false" ht="14.4" hidden="false" customHeight="false" outlineLevel="0" collapsed="false">
      <c r="A459" s="200" t="s">
        <v>1290</v>
      </c>
      <c r="B459" s="200" t="s">
        <v>121</v>
      </c>
      <c r="C459" s="200" t="n">
        <v>9</v>
      </c>
      <c r="D459" s="200" t="n">
        <v>2</v>
      </c>
      <c r="E459" s="200" t="n">
        <v>1.25</v>
      </c>
      <c r="F459" s="200" t="n">
        <v>1.2</v>
      </c>
      <c r="G459" s="200" t="n">
        <v>0.6</v>
      </c>
      <c r="H459" s="200" t="n">
        <v>0.6</v>
      </c>
      <c r="I459" s="200" t="s">
        <v>2612</v>
      </c>
      <c r="J459" s="200" t="n">
        <v>0.15</v>
      </c>
      <c r="K459" s="200" t="n">
        <v>1.06</v>
      </c>
    </row>
    <row r="460" customFormat="false" ht="14.4" hidden="false" customHeight="false" outlineLevel="0" collapsed="false">
      <c r="A460" s="201" t="s">
        <v>1290</v>
      </c>
      <c r="B460" s="201" t="s">
        <v>394</v>
      </c>
      <c r="C460" s="201" t="n">
        <v>9</v>
      </c>
      <c r="D460" s="201" t="n">
        <v>3</v>
      </c>
      <c r="E460" s="201" t="n">
        <v>1.25</v>
      </c>
      <c r="F460" s="201" t="n">
        <v>1.2</v>
      </c>
      <c r="G460" s="201" t="n">
        <v>0.6</v>
      </c>
      <c r="H460" s="201" t="n">
        <v>0.6</v>
      </c>
      <c r="I460" s="201" t="s">
        <v>2612</v>
      </c>
      <c r="J460" s="201" t="n">
        <v>0.3</v>
      </c>
      <c r="K460" s="201" t="n">
        <v>1.4</v>
      </c>
    </row>
    <row r="462" customFormat="false" ht="14.4" hidden="false" customHeight="false" outlineLevel="0" collapsed="false">
      <c r="A462" s="198" t="s">
        <v>139</v>
      </c>
      <c r="B462" s="198" t="s">
        <v>3065</v>
      </c>
      <c r="C462" s="198" t="s">
        <v>157</v>
      </c>
      <c r="D462" s="198" t="s">
        <v>163</v>
      </c>
      <c r="E462" s="198" t="s">
        <v>130</v>
      </c>
      <c r="F462" s="198" t="s">
        <v>138</v>
      </c>
      <c r="G462" s="198" t="s">
        <v>140</v>
      </c>
      <c r="H462" s="198" t="s">
        <v>142</v>
      </c>
      <c r="I462" s="198" t="s">
        <v>141</v>
      </c>
      <c r="J462" s="198" t="s">
        <v>154</v>
      </c>
      <c r="K462" s="198" t="s">
        <v>150</v>
      </c>
    </row>
    <row r="463" customFormat="false" ht="14.4" hidden="false" customHeight="false" outlineLevel="0" collapsed="false">
      <c r="A463" s="200" t="s">
        <v>3068</v>
      </c>
      <c r="B463" s="200" t="s">
        <v>121</v>
      </c>
      <c r="C463" s="200" t="n">
        <v>10</v>
      </c>
      <c r="D463" s="200" t="n">
        <v>2</v>
      </c>
      <c r="E463" s="200" t="n">
        <v>1.25</v>
      </c>
      <c r="F463" s="200" t="n">
        <v>1</v>
      </c>
      <c r="G463" s="200" t="n">
        <v>0.5</v>
      </c>
      <c r="H463" s="200" t="n">
        <v>0.2</v>
      </c>
      <c r="I463" s="200" t="s">
        <v>2602</v>
      </c>
      <c r="J463" s="200" t="n">
        <v>0.15</v>
      </c>
      <c r="K463" s="200" t="n">
        <v>1</v>
      </c>
    </row>
    <row r="464" customFormat="false" ht="14.4" hidden="false" customHeight="false" outlineLevel="0" collapsed="false">
      <c r="A464" s="202" t="s">
        <v>3068</v>
      </c>
      <c r="B464" s="202" t="s">
        <v>394</v>
      </c>
      <c r="C464" s="202" t="n">
        <v>8</v>
      </c>
      <c r="D464" s="202" t="n">
        <v>3</v>
      </c>
      <c r="E464" s="202" t="n">
        <v>1.25</v>
      </c>
      <c r="F464" s="202" t="n">
        <v>1.2</v>
      </c>
      <c r="G464" s="202" t="n">
        <v>0.6</v>
      </c>
      <c r="H464" s="202" t="n">
        <v>0.6</v>
      </c>
      <c r="I464" s="202" t="s">
        <v>2612</v>
      </c>
      <c r="J464" s="202" t="n">
        <v>0.3</v>
      </c>
      <c r="K464" s="202" t="n">
        <v>1.53</v>
      </c>
    </row>
    <row r="465" customFormat="false" ht="14.4" hidden="false" customHeight="false" outlineLevel="0" collapsed="false">
      <c r="A465" s="199" t="s">
        <v>3068</v>
      </c>
      <c r="B465" s="199" t="s">
        <v>121</v>
      </c>
      <c r="C465" s="199" t="n">
        <v>8</v>
      </c>
      <c r="D465" s="199" t="n">
        <v>3</v>
      </c>
      <c r="E465" s="199" t="n">
        <v>1.25</v>
      </c>
      <c r="F465" s="199" t="n">
        <v>1.2</v>
      </c>
      <c r="G465" s="199" t="n">
        <v>0.6</v>
      </c>
      <c r="H465" s="199" t="n">
        <v>0.6</v>
      </c>
      <c r="I465" s="199" t="s">
        <v>2612</v>
      </c>
      <c r="J465" s="199" t="n">
        <v>0.3</v>
      </c>
      <c r="K465" s="199" t="n">
        <v>1.53</v>
      </c>
    </row>
    <row r="467" customFormat="false" ht="14.4" hidden="false" customHeight="false" outlineLevel="0" collapsed="false">
      <c r="A467" s="198" t="s">
        <v>139</v>
      </c>
      <c r="B467" s="198" t="s">
        <v>3065</v>
      </c>
      <c r="C467" s="198" t="s">
        <v>157</v>
      </c>
      <c r="D467" s="198" t="s">
        <v>163</v>
      </c>
      <c r="E467" s="198" t="s">
        <v>130</v>
      </c>
      <c r="F467" s="198" t="s">
        <v>138</v>
      </c>
      <c r="G467" s="198" t="s">
        <v>140</v>
      </c>
      <c r="H467" s="198" t="s">
        <v>142</v>
      </c>
      <c r="I467" s="198" t="s">
        <v>141</v>
      </c>
      <c r="J467" s="198" t="s">
        <v>154</v>
      </c>
      <c r="K467" s="198" t="s">
        <v>150</v>
      </c>
    </row>
    <row r="468" customFormat="false" ht="14.4" hidden="false" customHeight="false" outlineLevel="0" collapsed="false">
      <c r="A468" s="200" t="s">
        <v>471</v>
      </c>
      <c r="B468" s="200" t="s">
        <v>121</v>
      </c>
      <c r="C468" s="200" t="n">
        <v>10</v>
      </c>
      <c r="D468" s="200" t="n">
        <v>2</v>
      </c>
      <c r="E468" s="200" t="n">
        <v>1.25</v>
      </c>
      <c r="F468" s="200" t="n">
        <v>1</v>
      </c>
      <c r="G468" s="200" t="n">
        <v>0.5</v>
      </c>
      <c r="H468" s="200" t="n">
        <v>0.2</v>
      </c>
      <c r="I468" s="200" t="s">
        <v>2602</v>
      </c>
      <c r="J468" s="200" t="n">
        <v>0.15</v>
      </c>
      <c r="K468" s="200" t="n">
        <v>1</v>
      </c>
    </row>
    <row r="469" customFormat="false" ht="14.4" hidden="false" customHeight="false" outlineLevel="0" collapsed="false">
      <c r="A469" s="201" t="s">
        <v>471</v>
      </c>
      <c r="B469" s="201" t="s">
        <v>394</v>
      </c>
      <c r="C469" s="201" t="n">
        <v>10</v>
      </c>
      <c r="D469" s="201" t="n">
        <v>3</v>
      </c>
      <c r="E469" s="201" t="n">
        <v>1.25</v>
      </c>
      <c r="F469" s="201" t="n">
        <v>1</v>
      </c>
      <c r="G469" s="201" t="n">
        <v>0.5</v>
      </c>
      <c r="H469" s="201" t="n">
        <v>0.2</v>
      </c>
      <c r="I469" s="201" t="s">
        <v>2602</v>
      </c>
      <c r="J469" s="201" t="n">
        <v>0.3</v>
      </c>
      <c r="K469" s="201" t="n">
        <v>1.4</v>
      </c>
    </row>
    <row r="471" customFormat="false" ht="14.4" hidden="false" customHeight="false" outlineLevel="0" collapsed="false">
      <c r="A471" s="198" t="s">
        <v>139</v>
      </c>
      <c r="B471" s="198" t="s">
        <v>3065</v>
      </c>
      <c r="C471" s="198" t="s">
        <v>157</v>
      </c>
      <c r="D471" s="198" t="s">
        <v>163</v>
      </c>
      <c r="E471" s="198" t="s">
        <v>130</v>
      </c>
      <c r="F471" s="198" t="s">
        <v>138</v>
      </c>
      <c r="G471" s="198" t="s">
        <v>140</v>
      </c>
      <c r="H471" s="198" t="s">
        <v>142</v>
      </c>
      <c r="I471" s="198" t="s">
        <v>141</v>
      </c>
      <c r="J471" s="198" t="s">
        <v>154</v>
      </c>
      <c r="K471" s="198" t="s">
        <v>150</v>
      </c>
    </row>
    <row r="472" customFormat="false" ht="14.4" hidden="false" customHeight="false" outlineLevel="0" collapsed="false">
      <c r="A472" s="200" t="s">
        <v>429</v>
      </c>
      <c r="B472" s="200" t="s">
        <v>394</v>
      </c>
      <c r="C472" s="200" t="n">
        <v>8</v>
      </c>
      <c r="D472" s="200" t="n">
        <v>3</v>
      </c>
      <c r="E472" s="200" t="n">
        <v>1.25</v>
      </c>
      <c r="F472" s="200" t="n">
        <v>1.2</v>
      </c>
      <c r="G472" s="200" t="n">
        <v>0.6</v>
      </c>
      <c r="H472" s="200" t="n">
        <v>0.6</v>
      </c>
      <c r="I472" s="200" t="s">
        <v>2612</v>
      </c>
      <c r="J472" s="200" t="n">
        <v>0.3</v>
      </c>
      <c r="K472" s="200" t="n">
        <v>1.53</v>
      </c>
    </row>
    <row r="473" customFormat="false" ht="14.4" hidden="false" customHeight="false" outlineLevel="0" collapsed="false">
      <c r="A473" s="202" t="s">
        <v>429</v>
      </c>
      <c r="B473" s="202" t="s">
        <v>121</v>
      </c>
      <c r="C473" s="202" t="n">
        <v>8</v>
      </c>
      <c r="D473" s="202" t="n">
        <v>3</v>
      </c>
      <c r="E473" s="202" t="n">
        <v>1.25</v>
      </c>
      <c r="F473" s="202" t="n">
        <v>1.2</v>
      </c>
      <c r="G473" s="202" t="n">
        <v>0.6</v>
      </c>
      <c r="H473" s="202" t="n">
        <v>0.6</v>
      </c>
      <c r="I473" s="202" t="s">
        <v>2612</v>
      </c>
      <c r="J473" s="202" t="n">
        <v>0.3</v>
      </c>
      <c r="K473" s="202" t="n">
        <v>1.53</v>
      </c>
    </row>
    <row r="474" customFormat="false" ht="14.4" hidden="false" customHeight="false" outlineLevel="0" collapsed="false">
      <c r="A474" s="199" t="s">
        <v>429</v>
      </c>
      <c r="B474" s="199" t="s">
        <v>357</v>
      </c>
      <c r="C474" s="199" t="n">
        <v>2</v>
      </c>
      <c r="D474" s="199" t="n">
        <v>1</v>
      </c>
      <c r="E474" s="199" t="n">
        <v>1.25</v>
      </c>
      <c r="F474" s="199" t="n">
        <v>1</v>
      </c>
      <c r="G474" s="199" t="n">
        <v>0.5</v>
      </c>
      <c r="H474" s="199" t="n">
        <v>0.2</v>
      </c>
      <c r="I474" s="199" t="s">
        <v>2602</v>
      </c>
      <c r="J474" s="199" t="n">
        <v>0</v>
      </c>
      <c r="K474" s="199" t="n">
        <v>3.99</v>
      </c>
    </row>
    <row r="476" customFormat="false" ht="14.4" hidden="false" customHeight="false" outlineLevel="0" collapsed="false">
      <c r="A476" s="198" t="s">
        <v>139</v>
      </c>
      <c r="B476" s="198" t="s">
        <v>3065</v>
      </c>
      <c r="C476" s="198" t="s">
        <v>157</v>
      </c>
      <c r="D476" s="198" t="s">
        <v>163</v>
      </c>
      <c r="E476" s="198" t="s">
        <v>130</v>
      </c>
      <c r="F476" s="198" t="s">
        <v>138</v>
      </c>
      <c r="G476" s="198" t="s">
        <v>140</v>
      </c>
      <c r="H476" s="198" t="s">
        <v>142</v>
      </c>
      <c r="I476" s="198" t="s">
        <v>141</v>
      </c>
      <c r="J476" s="198" t="s">
        <v>154</v>
      </c>
      <c r="K476" s="198" t="s">
        <v>150</v>
      </c>
    </row>
    <row r="477" customFormat="false" ht="14.4" hidden="false" customHeight="false" outlineLevel="0" collapsed="false">
      <c r="A477" s="200" t="s">
        <v>1065</v>
      </c>
      <c r="B477" s="200" t="s">
        <v>121</v>
      </c>
      <c r="C477" s="200" t="n">
        <v>9</v>
      </c>
      <c r="D477" s="200" t="n">
        <v>2</v>
      </c>
      <c r="E477" s="200" t="n">
        <v>1.25</v>
      </c>
      <c r="F477" s="200" t="n">
        <v>0.9</v>
      </c>
      <c r="G477" s="200" t="n">
        <v>0.7</v>
      </c>
      <c r="H477" s="200" t="n">
        <v>0.4</v>
      </c>
      <c r="I477" s="200" t="s">
        <v>2611</v>
      </c>
      <c r="J477" s="200" t="n">
        <v>0.15</v>
      </c>
      <c r="K477" s="200" t="n">
        <v>1.06</v>
      </c>
    </row>
    <row r="478" customFormat="false" ht="14.4" hidden="false" customHeight="false" outlineLevel="0" collapsed="false">
      <c r="A478" s="201" t="s">
        <v>1065</v>
      </c>
      <c r="B478" s="201" t="s">
        <v>394</v>
      </c>
      <c r="C478" s="201" t="n">
        <v>9</v>
      </c>
      <c r="D478" s="201" t="n">
        <v>3</v>
      </c>
      <c r="E478" s="201" t="n">
        <v>1.25</v>
      </c>
      <c r="F478" s="201" t="n">
        <v>0.9</v>
      </c>
      <c r="G478" s="201" t="n">
        <v>0.7</v>
      </c>
      <c r="H478" s="201" t="n">
        <v>0.4</v>
      </c>
      <c r="I478" s="201" t="s">
        <v>2611</v>
      </c>
      <c r="J478" s="201" t="n">
        <v>0.3</v>
      </c>
      <c r="K478" s="201" t="n">
        <v>1.46</v>
      </c>
    </row>
    <row r="480" customFormat="false" ht="14.4" hidden="false" customHeight="false" outlineLevel="0" collapsed="false">
      <c r="A480" s="198" t="s">
        <v>139</v>
      </c>
      <c r="B480" s="198" t="s">
        <v>3065</v>
      </c>
      <c r="C480" s="198" t="s">
        <v>157</v>
      </c>
      <c r="D480" s="198" t="s">
        <v>163</v>
      </c>
      <c r="E480" s="198" t="s">
        <v>130</v>
      </c>
      <c r="F480" s="198" t="s">
        <v>138</v>
      </c>
      <c r="G480" s="198" t="s">
        <v>140</v>
      </c>
      <c r="H480" s="198" t="s">
        <v>142</v>
      </c>
      <c r="I480" s="198" t="s">
        <v>141</v>
      </c>
      <c r="J480" s="198" t="s">
        <v>154</v>
      </c>
      <c r="K480" s="198" t="s">
        <v>150</v>
      </c>
    </row>
    <row r="481" customFormat="false" ht="14.4" hidden="false" customHeight="false" outlineLevel="0" collapsed="false">
      <c r="A481" s="199" t="s">
        <v>3069</v>
      </c>
      <c r="B481" s="199" t="s">
        <v>121</v>
      </c>
      <c r="C481" s="199" t="n">
        <v>9</v>
      </c>
      <c r="D481" s="199" t="n">
        <v>2</v>
      </c>
      <c r="E481" s="199" t="n">
        <v>1.25</v>
      </c>
      <c r="F481" s="199" t="n">
        <v>1.2</v>
      </c>
      <c r="G481" s="199" t="n">
        <v>0.6</v>
      </c>
      <c r="H481" s="199" t="n">
        <v>0.6</v>
      </c>
      <c r="I481" s="199" t="s">
        <v>2612</v>
      </c>
      <c r="J481" s="199" t="n">
        <v>0.15</v>
      </c>
      <c r="K481" s="199" t="n">
        <v>1.06</v>
      </c>
    </row>
    <row r="483" customFormat="false" ht="14.4" hidden="false" customHeight="false" outlineLevel="0" collapsed="false">
      <c r="A483" s="198" t="s">
        <v>139</v>
      </c>
      <c r="B483" s="198" t="s">
        <v>3065</v>
      </c>
      <c r="C483" s="198" t="s">
        <v>157</v>
      </c>
      <c r="D483" s="198" t="s">
        <v>163</v>
      </c>
      <c r="E483" s="198" t="s">
        <v>130</v>
      </c>
      <c r="F483" s="198" t="s">
        <v>138</v>
      </c>
      <c r="G483" s="198" t="s">
        <v>140</v>
      </c>
      <c r="H483" s="198" t="s">
        <v>142</v>
      </c>
      <c r="I483" s="198" t="s">
        <v>141</v>
      </c>
      <c r="J483" s="198" t="s">
        <v>154</v>
      </c>
      <c r="K483" s="198" t="s">
        <v>150</v>
      </c>
    </row>
    <row r="484" customFormat="false" ht="14.4" hidden="false" customHeight="false" outlineLevel="0" collapsed="false">
      <c r="A484" s="199" t="s">
        <v>437</v>
      </c>
      <c r="B484" s="199" t="s">
        <v>121</v>
      </c>
      <c r="C484" s="199" t="n">
        <v>9</v>
      </c>
      <c r="D484" s="199" t="n">
        <v>2</v>
      </c>
      <c r="E484" s="199" t="n">
        <v>1.25</v>
      </c>
      <c r="F484" s="199" t="n">
        <v>1.2</v>
      </c>
      <c r="G484" s="199" t="n">
        <v>0.6</v>
      </c>
      <c r="H484" s="199" t="n">
        <v>0.6</v>
      </c>
      <c r="I484" s="199" t="s">
        <v>2612</v>
      </c>
      <c r="J484" s="199" t="n">
        <v>0.15</v>
      </c>
      <c r="K484" s="199" t="n">
        <v>1.06</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U154"/>
  <sheetViews>
    <sheetView showFormulas="false" showGridLines="true" showRowColHeaders="true" showZeros="true" rightToLeft="false" tabSelected="false" showOutlineSymbols="true" defaultGridColor="true" view="normal" topLeftCell="A31" colorId="64" zoomScale="80" zoomScaleNormal="80" zoomScalePageLayoutView="100" workbookViewId="0">
      <selection pane="topLeft" activeCell="D10" activeCellId="0" sqref="D10"/>
    </sheetView>
  </sheetViews>
  <sheetFormatPr defaultColWidth="8.58984375" defaultRowHeight="14.4" zeroHeight="false" outlineLevelRow="0" outlineLevelCol="0"/>
  <cols>
    <col collapsed="false" customWidth="true" hidden="false" outlineLevel="0" max="1" min="1" style="1" width="8.89"/>
    <col collapsed="false" customWidth="true" hidden="false" outlineLevel="0" max="3" min="2" style="0" width="10.65"/>
    <col collapsed="false" customWidth="true" hidden="false" outlineLevel="0" max="24" min="22" style="1" width="8.89"/>
  </cols>
  <sheetData>
    <row r="1" customFormat="false" ht="15" hidden="false" customHeight="false" outlineLevel="0" collapsed="false">
      <c r="B1" s="1"/>
      <c r="C1" s="1"/>
      <c r="D1" s="1"/>
      <c r="E1" s="1"/>
      <c r="F1" s="1"/>
      <c r="G1" s="1"/>
      <c r="H1" s="1"/>
      <c r="I1" s="1"/>
      <c r="J1" s="1"/>
      <c r="K1" s="1"/>
      <c r="L1" s="1"/>
      <c r="M1" s="1"/>
      <c r="N1" s="1"/>
      <c r="O1" s="1"/>
      <c r="P1" s="1"/>
      <c r="Q1" s="1"/>
      <c r="R1" s="1"/>
      <c r="S1" s="1"/>
      <c r="T1" s="1"/>
      <c r="U1" s="1"/>
    </row>
    <row r="2" customFormat="false" ht="14.4" hidden="false" customHeight="false" outlineLevel="0" collapsed="false">
      <c r="B2" s="2" t="s">
        <v>0</v>
      </c>
      <c r="C2" s="2"/>
      <c r="D2" s="2"/>
      <c r="E2" s="2"/>
      <c r="F2" s="2"/>
      <c r="G2" s="2"/>
      <c r="H2" s="2"/>
      <c r="I2" s="2"/>
      <c r="J2" s="2"/>
      <c r="K2" s="2"/>
      <c r="L2" s="2"/>
      <c r="M2" s="2"/>
      <c r="N2" s="2"/>
      <c r="O2" s="2"/>
      <c r="P2" s="2"/>
      <c r="Q2" s="2"/>
      <c r="R2" s="2"/>
      <c r="S2" s="2"/>
      <c r="T2" s="2"/>
      <c r="U2" s="2"/>
    </row>
    <row r="3" customFormat="false" ht="14.4" hidden="false" customHeight="false" outlineLevel="0" collapsed="false">
      <c r="B3" s="2"/>
      <c r="C3" s="2"/>
      <c r="D3" s="2"/>
      <c r="E3" s="2"/>
      <c r="F3" s="2"/>
      <c r="G3" s="2"/>
      <c r="H3" s="2"/>
      <c r="I3" s="2"/>
      <c r="J3" s="2"/>
      <c r="K3" s="2"/>
      <c r="L3" s="2"/>
      <c r="M3" s="2"/>
      <c r="N3" s="2"/>
      <c r="O3" s="2"/>
      <c r="P3" s="2"/>
      <c r="Q3" s="2"/>
      <c r="R3" s="2"/>
      <c r="S3" s="2"/>
      <c r="T3" s="2"/>
      <c r="U3" s="2"/>
    </row>
    <row r="4" customFormat="false" ht="15" hidden="false" customHeight="false" outlineLevel="0" collapsed="false">
      <c r="B4" s="2"/>
      <c r="C4" s="2"/>
      <c r="D4" s="2"/>
      <c r="E4" s="2"/>
      <c r="F4" s="2"/>
      <c r="G4" s="2"/>
      <c r="H4" s="2"/>
      <c r="I4" s="2"/>
      <c r="J4" s="2"/>
      <c r="K4" s="2"/>
      <c r="L4" s="2"/>
      <c r="M4" s="2"/>
      <c r="N4" s="2"/>
      <c r="O4" s="2"/>
      <c r="P4" s="2"/>
      <c r="Q4" s="2"/>
      <c r="R4" s="2"/>
      <c r="S4" s="2"/>
      <c r="T4" s="2"/>
      <c r="U4" s="2"/>
    </row>
    <row r="5" customFormat="false" ht="14.4" hidden="false" customHeight="false" outlineLevel="0" collapsed="false">
      <c r="B5" s="3" t="s">
        <v>1</v>
      </c>
      <c r="C5" s="3"/>
      <c r="D5" s="3"/>
      <c r="E5" s="3"/>
      <c r="F5" s="3"/>
      <c r="G5" s="3"/>
      <c r="H5" s="3"/>
      <c r="I5" s="3"/>
      <c r="J5" s="3"/>
      <c r="K5" s="3"/>
      <c r="L5" s="3"/>
      <c r="M5" s="3"/>
      <c r="N5" s="3"/>
      <c r="O5" s="3"/>
      <c r="P5" s="3"/>
      <c r="Q5" s="3"/>
      <c r="R5" s="3"/>
      <c r="S5" s="3"/>
      <c r="T5" s="3"/>
      <c r="U5" s="3"/>
    </row>
    <row r="6" customFormat="false" ht="15" hidden="false" customHeight="false" outlineLevel="0" collapsed="false">
      <c r="B6" s="3"/>
      <c r="C6" s="3"/>
      <c r="D6" s="3"/>
      <c r="E6" s="3"/>
      <c r="F6" s="3"/>
      <c r="G6" s="3"/>
      <c r="H6" s="3"/>
      <c r="I6" s="3"/>
      <c r="J6" s="3"/>
      <c r="K6" s="3"/>
      <c r="L6" s="3"/>
      <c r="M6" s="3"/>
      <c r="N6" s="3"/>
      <c r="O6" s="3"/>
      <c r="P6" s="3"/>
      <c r="Q6" s="3"/>
      <c r="R6" s="3"/>
      <c r="S6" s="3"/>
      <c r="T6" s="3"/>
      <c r="U6" s="3"/>
    </row>
    <row r="7" customFormat="false" ht="18.6" hidden="false" customHeight="true" outlineLevel="0" collapsed="false">
      <c r="B7" s="4" t="s">
        <v>2</v>
      </c>
      <c r="C7" s="4"/>
      <c r="D7" s="5" t="s">
        <v>3</v>
      </c>
      <c r="E7" s="5"/>
      <c r="F7" s="5"/>
      <c r="G7" s="5"/>
      <c r="H7" s="5"/>
      <c r="I7" s="5"/>
      <c r="J7" s="5"/>
      <c r="K7" s="5"/>
      <c r="L7" s="5"/>
      <c r="M7" s="5"/>
      <c r="N7" s="5"/>
      <c r="O7" s="5"/>
      <c r="P7" s="5"/>
      <c r="Q7" s="5"/>
      <c r="R7" s="5"/>
      <c r="S7" s="5"/>
      <c r="T7" s="5"/>
      <c r="U7" s="5"/>
    </row>
    <row r="8" customFormat="false" ht="14.4" hidden="false" customHeight="false" outlineLevel="0" collapsed="false">
      <c r="B8" s="4"/>
      <c r="C8" s="4"/>
      <c r="D8" s="5"/>
      <c r="E8" s="5"/>
      <c r="F8" s="5"/>
      <c r="G8" s="5"/>
      <c r="H8" s="5"/>
      <c r="I8" s="5"/>
      <c r="J8" s="5"/>
      <c r="K8" s="5"/>
      <c r="L8" s="5"/>
      <c r="M8" s="5"/>
      <c r="N8" s="5"/>
      <c r="O8" s="5"/>
      <c r="P8" s="5"/>
      <c r="Q8" s="5"/>
      <c r="R8" s="5"/>
      <c r="S8" s="5"/>
      <c r="T8" s="5"/>
      <c r="U8" s="5"/>
    </row>
    <row r="9" customFormat="false" ht="15" hidden="false" customHeight="false" outlineLevel="0" collapsed="false">
      <c r="B9" s="4"/>
      <c r="C9" s="4"/>
      <c r="D9" s="5"/>
      <c r="E9" s="5"/>
      <c r="F9" s="5"/>
      <c r="G9" s="5"/>
      <c r="H9" s="5"/>
      <c r="I9" s="5"/>
      <c r="J9" s="5"/>
      <c r="K9" s="5"/>
      <c r="L9" s="5"/>
      <c r="M9" s="5"/>
      <c r="N9" s="5"/>
      <c r="O9" s="5"/>
      <c r="P9" s="5"/>
      <c r="Q9" s="5"/>
      <c r="R9" s="5"/>
      <c r="S9" s="5"/>
      <c r="T9" s="5"/>
      <c r="U9" s="5"/>
    </row>
    <row r="10" customFormat="false" ht="14.4" hidden="false" customHeight="true" outlineLevel="0" collapsed="false">
      <c r="B10" s="6" t="s">
        <v>4</v>
      </c>
      <c r="C10" s="6"/>
      <c r="D10" s="7" t="s">
        <v>5</v>
      </c>
      <c r="E10" s="7"/>
      <c r="F10" s="7"/>
      <c r="G10" s="7"/>
      <c r="H10" s="7"/>
      <c r="I10" s="7"/>
      <c r="J10" s="7"/>
      <c r="K10" s="7"/>
      <c r="L10" s="7"/>
      <c r="M10" s="7"/>
      <c r="N10" s="7"/>
      <c r="O10" s="7"/>
      <c r="P10" s="7"/>
      <c r="Q10" s="7"/>
      <c r="R10" s="7"/>
      <c r="S10" s="7"/>
      <c r="T10" s="7"/>
      <c r="U10" s="7"/>
    </row>
    <row r="11" customFormat="false" ht="14.4" hidden="false" customHeight="true" outlineLevel="0" collapsed="false">
      <c r="B11" s="6"/>
      <c r="C11" s="6"/>
      <c r="D11" s="7"/>
      <c r="E11" s="7"/>
      <c r="F11" s="7"/>
      <c r="G11" s="7"/>
      <c r="H11" s="7"/>
      <c r="I11" s="7"/>
      <c r="J11" s="7"/>
      <c r="K11" s="7"/>
      <c r="L11" s="7"/>
      <c r="M11" s="7"/>
      <c r="N11" s="7"/>
      <c r="O11" s="7"/>
      <c r="P11" s="7"/>
      <c r="Q11" s="7"/>
      <c r="R11" s="7"/>
      <c r="S11" s="7"/>
      <c r="T11" s="7"/>
      <c r="U11" s="7"/>
    </row>
    <row r="12" customFormat="false" ht="14.4" hidden="false" customHeight="true" outlineLevel="0" collapsed="false">
      <c r="B12" s="6"/>
      <c r="C12" s="6"/>
      <c r="D12" s="7"/>
      <c r="E12" s="7"/>
      <c r="F12" s="7"/>
      <c r="G12" s="7"/>
      <c r="H12" s="7"/>
      <c r="I12" s="7"/>
      <c r="J12" s="7"/>
      <c r="K12" s="7"/>
      <c r="L12" s="7"/>
      <c r="M12" s="7"/>
      <c r="N12" s="7"/>
      <c r="O12" s="7"/>
      <c r="P12" s="7"/>
      <c r="Q12" s="7"/>
      <c r="R12" s="7"/>
      <c r="S12" s="7"/>
      <c r="T12" s="7"/>
      <c r="U12" s="7"/>
    </row>
    <row r="13" customFormat="false" ht="15" hidden="false" customHeight="true" outlineLevel="0" collapsed="false">
      <c r="B13" s="6"/>
      <c r="C13" s="6"/>
      <c r="D13" s="7"/>
      <c r="E13" s="7"/>
      <c r="F13" s="7"/>
      <c r="G13" s="7"/>
      <c r="H13" s="7"/>
      <c r="I13" s="7"/>
      <c r="J13" s="7"/>
      <c r="K13" s="7"/>
      <c r="L13" s="7"/>
      <c r="M13" s="7"/>
      <c r="N13" s="7"/>
      <c r="O13" s="7"/>
      <c r="P13" s="7"/>
      <c r="Q13" s="7"/>
      <c r="R13" s="7"/>
      <c r="S13" s="7"/>
      <c r="T13" s="7"/>
      <c r="U13" s="7"/>
    </row>
    <row r="14" customFormat="false" ht="14.4" hidden="false" customHeight="true" outlineLevel="0" collapsed="false">
      <c r="B14" s="4" t="s">
        <v>6</v>
      </c>
      <c r="C14" s="4"/>
      <c r="D14" s="5" t="s">
        <v>7</v>
      </c>
      <c r="E14" s="5"/>
      <c r="F14" s="5"/>
      <c r="G14" s="5"/>
      <c r="H14" s="5"/>
      <c r="I14" s="5"/>
      <c r="J14" s="5"/>
      <c r="K14" s="5"/>
      <c r="L14" s="5"/>
      <c r="M14" s="5"/>
      <c r="N14" s="5"/>
      <c r="O14" s="5"/>
      <c r="P14" s="5"/>
      <c r="Q14" s="5"/>
      <c r="R14" s="5"/>
      <c r="S14" s="5"/>
      <c r="T14" s="5"/>
      <c r="U14" s="5"/>
    </row>
    <row r="15" customFormat="false" ht="14.4" hidden="false" customHeight="true" outlineLevel="0" collapsed="false">
      <c r="B15" s="4"/>
      <c r="C15" s="4"/>
      <c r="D15" s="5"/>
      <c r="E15" s="5"/>
      <c r="F15" s="5"/>
      <c r="G15" s="5"/>
      <c r="H15" s="5"/>
      <c r="I15" s="5"/>
      <c r="J15" s="5"/>
      <c r="K15" s="5"/>
      <c r="L15" s="5"/>
      <c r="M15" s="5"/>
      <c r="N15" s="5"/>
      <c r="O15" s="5"/>
      <c r="P15" s="5"/>
      <c r="Q15" s="5"/>
      <c r="R15" s="5"/>
      <c r="S15" s="5"/>
      <c r="T15" s="5"/>
      <c r="U15" s="5"/>
    </row>
    <row r="16" customFormat="false" ht="15" hidden="false" customHeight="true" outlineLevel="0" collapsed="false">
      <c r="B16" s="4"/>
      <c r="C16" s="4"/>
      <c r="D16" s="5"/>
      <c r="E16" s="5"/>
      <c r="F16" s="5"/>
      <c r="G16" s="5"/>
      <c r="H16" s="5"/>
      <c r="I16" s="5"/>
      <c r="J16" s="5"/>
      <c r="K16" s="5"/>
      <c r="L16" s="5"/>
      <c r="M16" s="5"/>
      <c r="N16" s="5"/>
      <c r="O16" s="5"/>
      <c r="P16" s="5"/>
      <c r="Q16" s="5"/>
      <c r="R16" s="5"/>
      <c r="S16" s="5"/>
      <c r="T16" s="5"/>
      <c r="U16" s="5"/>
    </row>
    <row r="17" customFormat="false" ht="15" hidden="false" customHeight="true" outlineLevel="0" collapsed="false">
      <c r="B17" s="4"/>
      <c r="C17" s="4"/>
      <c r="D17" s="5"/>
      <c r="E17" s="5"/>
      <c r="F17" s="5"/>
      <c r="G17" s="5"/>
      <c r="H17" s="5"/>
      <c r="I17" s="5"/>
      <c r="J17" s="5"/>
      <c r="K17" s="5"/>
      <c r="L17" s="5"/>
      <c r="M17" s="5"/>
      <c r="N17" s="5"/>
      <c r="O17" s="5"/>
      <c r="P17" s="5"/>
      <c r="Q17" s="5"/>
      <c r="R17" s="5"/>
      <c r="S17" s="5"/>
      <c r="T17" s="5"/>
      <c r="U17" s="5"/>
    </row>
    <row r="18" customFormat="false" ht="14.4" hidden="false" customHeight="true" outlineLevel="0" collapsed="false">
      <c r="B18" s="4" t="s">
        <v>8</v>
      </c>
      <c r="C18" s="4"/>
      <c r="D18" s="8" t="s">
        <v>9</v>
      </c>
      <c r="E18" s="8"/>
      <c r="F18" s="8"/>
      <c r="G18" s="8"/>
      <c r="H18" s="8"/>
      <c r="I18" s="8"/>
      <c r="J18" s="8"/>
      <c r="K18" s="8"/>
      <c r="L18" s="8"/>
      <c r="M18" s="8"/>
      <c r="N18" s="8"/>
      <c r="O18" s="8"/>
      <c r="P18" s="8"/>
      <c r="Q18" s="8"/>
      <c r="R18" s="8"/>
      <c r="S18" s="8"/>
      <c r="T18" s="8"/>
      <c r="U18" s="8"/>
    </row>
    <row r="19" customFormat="false" ht="14.4" hidden="false" customHeight="true" outlineLevel="0" collapsed="false">
      <c r="B19" s="4"/>
      <c r="C19" s="4"/>
      <c r="D19" s="8"/>
      <c r="E19" s="8"/>
      <c r="F19" s="8"/>
      <c r="G19" s="8"/>
      <c r="H19" s="8"/>
      <c r="I19" s="8"/>
      <c r="J19" s="8"/>
      <c r="K19" s="8"/>
      <c r="L19" s="8"/>
      <c r="M19" s="8"/>
      <c r="N19" s="8"/>
      <c r="O19" s="8"/>
      <c r="P19" s="8"/>
      <c r="Q19" s="8"/>
      <c r="R19" s="8"/>
      <c r="S19" s="8"/>
      <c r="T19" s="8"/>
      <c r="U19" s="8"/>
    </row>
    <row r="20" customFormat="false" ht="14.4" hidden="false" customHeight="true" outlineLevel="0" collapsed="false">
      <c r="B20" s="4"/>
      <c r="C20" s="4"/>
      <c r="D20" s="8"/>
      <c r="E20" s="8"/>
      <c r="F20" s="8"/>
      <c r="G20" s="8"/>
      <c r="H20" s="8"/>
      <c r="I20" s="8"/>
      <c r="J20" s="8"/>
      <c r="K20" s="8"/>
      <c r="L20" s="8"/>
      <c r="M20" s="8"/>
      <c r="N20" s="8"/>
      <c r="O20" s="8"/>
      <c r="P20" s="8"/>
      <c r="Q20" s="8"/>
      <c r="R20" s="8"/>
      <c r="S20" s="8"/>
      <c r="T20" s="8"/>
      <c r="U20" s="8"/>
    </row>
    <row r="21" customFormat="false" ht="14.4" hidden="false" customHeight="true" outlineLevel="0" collapsed="false">
      <c r="B21" s="4"/>
      <c r="C21" s="4"/>
      <c r="D21" s="8"/>
      <c r="E21" s="8"/>
      <c r="F21" s="8"/>
      <c r="G21" s="8"/>
      <c r="H21" s="8"/>
      <c r="I21" s="8"/>
      <c r="J21" s="8"/>
      <c r="K21" s="8"/>
      <c r="L21" s="8"/>
      <c r="M21" s="8"/>
      <c r="N21" s="8"/>
      <c r="O21" s="8"/>
      <c r="P21" s="8"/>
      <c r="Q21" s="8"/>
      <c r="R21" s="8"/>
      <c r="S21" s="8"/>
      <c r="T21" s="8"/>
      <c r="U21" s="8"/>
    </row>
    <row r="22" customFormat="false" ht="15" hidden="false" customHeight="true" outlineLevel="0" collapsed="false">
      <c r="B22" s="4" t="s">
        <v>8</v>
      </c>
      <c r="C22" s="4"/>
      <c r="D22" s="9" t="s">
        <v>10</v>
      </c>
      <c r="E22" s="9"/>
      <c r="F22" s="9"/>
      <c r="G22" s="9"/>
      <c r="H22" s="9"/>
      <c r="I22" s="9"/>
      <c r="J22" s="9"/>
      <c r="K22" s="9"/>
      <c r="L22" s="9"/>
      <c r="M22" s="9"/>
      <c r="N22" s="9"/>
      <c r="O22" s="9"/>
      <c r="P22" s="9"/>
      <c r="Q22" s="9"/>
      <c r="R22" s="9"/>
      <c r="S22" s="9"/>
      <c r="T22" s="9"/>
      <c r="U22" s="9"/>
    </row>
    <row r="23" customFormat="false" ht="15" hidden="false" customHeight="true" outlineLevel="0" collapsed="false">
      <c r="B23" s="4"/>
      <c r="C23" s="4"/>
      <c r="D23" s="9"/>
      <c r="E23" s="9"/>
      <c r="F23" s="9"/>
      <c r="G23" s="9"/>
      <c r="H23" s="9"/>
      <c r="I23" s="9"/>
      <c r="J23" s="9"/>
      <c r="K23" s="9"/>
      <c r="L23" s="9"/>
      <c r="M23" s="9"/>
      <c r="N23" s="9"/>
      <c r="O23" s="9"/>
      <c r="P23" s="9"/>
      <c r="Q23" s="9"/>
      <c r="R23" s="9"/>
      <c r="S23" s="9"/>
      <c r="T23" s="9"/>
      <c r="U23" s="9"/>
    </row>
    <row r="24" customFormat="false" ht="14.4" hidden="false" customHeight="true" outlineLevel="0" collapsed="false">
      <c r="B24" s="4"/>
      <c r="C24" s="4"/>
      <c r="D24" s="9"/>
      <c r="E24" s="9"/>
      <c r="F24" s="9"/>
      <c r="G24" s="9"/>
      <c r="H24" s="9"/>
      <c r="I24" s="9"/>
      <c r="J24" s="9"/>
      <c r="K24" s="9"/>
      <c r="L24" s="9"/>
      <c r="M24" s="9"/>
      <c r="N24" s="9"/>
      <c r="O24" s="9"/>
      <c r="P24" s="9"/>
      <c r="Q24" s="9"/>
      <c r="R24" s="9"/>
      <c r="S24" s="9"/>
      <c r="T24" s="9"/>
      <c r="U24" s="9"/>
    </row>
    <row r="25" customFormat="false" ht="15" hidden="false" customHeight="true" outlineLevel="0" collapsed="false">
      <c r="B25" s="4"/>
      <c r="C25" s="4"/>
      <c r="D25" s="9"/>
      <c r="E25" s="9"/>
      <c r="F25" s="9"/>
      <c r="G25" s="9"/>
      <c r="H25" s="9"/>
      <c r="I25" s="9"/>
      <c r="J25" s="9"/>
      <c r="K25" s="9"/>
      <c r="L25" s="9"/>
      <c r="M25" s="9"/>
      <c r="N25" s="9"/>
      <c r="O25" s="9"/>
      <c r="P25" s="9"/>
      <c r="Q25" s="9"/>
      <c r="R25" s="9"/>
      <c r="S25" s="9"/>
      <c r="T25" s="9"/>
      <c r="U25" s="9"/>
    </row>
    <row r="26" customFormat="false" ht="15" hidden="false" customHeight="true" outlineLevel="0" collapsed="false">
      <c r="B26" s="4" t="s">
        <v>8</v>
      </c>
      <c r="C26" s="4"/>
      <c r="D26" s="9" t="s">
        <v>11</v>
      </c>
      <c r="E26" s="9"/>
      <c r="F26" s="9"/>
      <c r="G26" s="9"/>
      <c r="H26" s="9"/>
      <c r="I26" s="9"/>
      <c r="J26" s="9"/>
      <c r="K26" s="9"/>
      <c r="L26" s="9"/>
      <c r="M26" s="9"/>
      <c r="N26" s="9"/>
      <c r="O26" s="9"/>
      <c r="P26" s="9"/>
      <c r="Q26" s="9"/>
      <c r="R26" s="9"/>
      <c r="S26" s="9"/>
      <c r="T26" s="9"/>
      <c r="U26" s="9"/>
    </row>
    <row r="27" customFormat="false" ht="15" hidden="false" customHeight="true" outlineLevel="0" collapsed="false">
      <c r="B27" s="4"/>
      <c r="C27" s="4"/>
      <c r="D27" s="9"/>
      <c r="E27" s="9"/>
      <c r="F27" s="9"/>
      <c r="G27" s="9"/>
      <c r="H27" s="9"/>
      <c r="I27" s="9"/>
      <c r="J27" s="9"/>
      <c r="K27" s="9"/>
      <c r="L27" s="9"/>
      <c r="M27" s="9"/>
      <c r="N27" s="9"/>
      <c r="O27" s="9"/>
      <c r="P27" s="9"/>
      <c r="Q27" s="9"/>
      <c r="R27" s="9"/>
      <c r="S27" s="9"/>
      <c r="T27" s="9"/>
      <c r="U27" s="9"/>
    </row>
    <row r="28" customFormat="false" ht="14.4" hidden="false" customHeight="true" outlineLevel="0" collapsed="false">
      <c r="B28" s="4"/>
      <c r="C28" s="4"/>
      <c r="D28" s="9"/>
      <c r="E28" s="9"/>
      <c r="F28" s="9"/>
      <c r="G28" s="9"/>
      <c r="H28" s="9"/>
      <c r="I28" s="9"/>
      <c r="J28" s="9"/>
      <c r="K28" s="9"/>
      <c r="L28" s="9"/>
      <c r="M28" s="9"/>
      <c r="N28" s="9"/>
      <c r="O28" s="9"/>
      <c r="P28" s="9"/>
      <c r="Q28" s="9"/>
      <c r="R28" s="9"/>
      <c r="S28" s="9"/>
      <c r="T28" s="9"/>
      <c r="U28" s="9"/>
    </row>
    <row r="29" customFormat="false" ht="15" hidden="false" customHeight="true" outlineLevel="0" collapsed="false">
      <c r="B29" s="4"/>
      <c r="C29" s="4"/>
      <c r="D29" s="9"/>
      <c r="E29" s="9"/>
      <c r="F29" s="9"/>
      <c r="G29" s="9"/>
      <c r="H29" s="9"/>
      <c r="I29" s="9"/>
      <c r="J29" s="9"/>
      <c r="K29" s="9"/>
      <c r="L29" s="9"/>
      <c r="M29" s="9"/>
      <c r="N29" s="9"/>
      <c r="O29" s="9"/>
      <c r="P29" s="9"/>
      <c r="Q29" s="9"/>
      <c r="R29" s="9"/>
      <c r="S29" s="9"/>
      <c r="T29" s="9"/>
      <c r="U29" s="9"/>
    </row>
    <row r="30" customFormat="false" ht="15" hidden="false" customHeight="true" outlineLevel="0" collapsed="false">
      <c r="B30" s="4" t="s">
        <v>12</v>
      </c>
      <c r="C30" s="4"/>
      <c r="D30" s="5" t="s">
        <v>13</v>
      </c>
      <c r="E30" s="5"/>
      <c r="F30" s="5"/>
      <c r="G30" s="5"/>
      <c r="H30" s="5"/>
      <c r="I30" s="5"/>
      <c r="J30" s="5"/>
      <c r="K30" s="5"/>
      <c r="L30" s="5"/>
      <c r="M30" s="5"/>
      <c r="N30" s="5"/>
      <c r="O30" s="5"/>
      <c r="P30" s="5"/>
      <c r="Q30" s="5"/>
      <c r="R30" s="5"/>
      <c r="S30" s="5"/>
      <c r="T30" s="5"/>
      <c r="U30" s="5"/>
    </row>
    <row r="31" customFormat="false" ht="14.4" hidden="false" customHeight="true" outlineLevel="0" collapsed="false">
      <c r="B31" s="4"/>
      <c r="C31" s="4"/>
      <c r="D31" s="5"/>
      <c r="E31" s="5"/>
      <c r="F31" s="5"/>
      <c r="G31" s="5"/>
      <c r="H31" s="5"/>
      <c r="I31" s="5"/>
      <c r="J31" s="5"/>
      <c r="K31" s="5"/>
      <c r="L31" s="5"/>
      <c r="M31" s="5"/>
      <c r="N31" s="5"/>
      <c r="O31" s="5"/>
      <c r="P31" s="5"/>
      <c r="Q31" s="5"/>
      <c r="R31" s="5"/>
      <c r="S31" s="5"/>
      <c r="T31" s="5"/>
      <c r="U31" s="5"/>
    </row>
    <row r="32" customFormat="false" ht="14.4" hidden="false" customHeight="true" outlineLevel="0" collapsed="false">
      <c r="B32" s="4"/>
      <c r="C32" s="4"/>
      <c r="D32" s="5"/>
      <c r="E32" s="5"/>
      <c r="F32" s="5"/>
      <c r="G32" s="5"/>
      <c r="H32" s="5"/>
      <c r="I32" s="5"/>
      <c r="J32" s="5"/>
      <c r="K32" s="5"/>
      <c r="L32" s="5"/>
      <c r="M32" s="5"/>
      <c r="N32" s="5"/>
      <c r="O32" s="5"/>
      <c r="P32" s="5"/>
      <c r="Q32" s="5"/>
      <c r="R32" s="5"/>
      <c r="S32" s="5"/>
      <c r="T32" s="5"/>
      <c r="U32" s="5"/>
    </row>
    <row r="33" customFormat="false" ht="14.4" hidden="false" customHeight="true" outlineLevel="0" collapsed="false">
      <c r="B33" s="4"/>
      <c r="C33" s="4"/>
      <c r="D33" s="5"/>
      <c r="E33" s="5"/>
      <c r="F33" s="5"/>
      <c r="G33" s="5"/>
      <c r="H33" s="5"/>
      <c r="I33" s="5"/>
      <c r="J33" s="5"/>
      <c r="K33" s="5"/>
      <c r="L33" s="5"/>
      <c r="M33" s="5"/>
      <c r="N33" s="5"/>
      <c r="O33" s="5"/>
      <c r="P33" s="5"/>
      <c r="Q33" s="5"/>
      <c r="R33" s="5"/>
      <c r="S33" s="5"/>
      <c r="T33" s="5"/>
      <c r="U33" s="5"/>
    </row>
    <row r="34" customFormat="false" ht="15" hidden="false" customHeight="true" outlineLevel="0" collapsed="false">
      <c r="B34" s="4" t="s">
        <v>12</v>
      </c>
      <c r="C34" s="4"/>
      <c r="D34" s="5" t="s">
        <v>14</v>
      </c>
      <c r="E34" s="5"/>
      <c r="F34" s="5"/>
      <c r="G34" s="5"/>
      <c r="H34" s="5"/>
      <c r="I34" s="5"/>
      <c r="J34" s="5"/>
      <c r="K34" s="5"/>
      <c r="L34" s="5"/>
      <c r="M34" s="5"/>
      <c r="N34" s="5"/>
      <c r="O34" s="5"/>
      <c r="P34" s="5"/>
      <c r="Q34" s="5"/>
      <c r="R34" s="5"/>
      <c r="S34" s="5"/>
      <c r="T34" s="5"/>
      <c r="U34" s="5"/>
    </row>
    <row r="35" customFormat="false" ht="14.4" hidden="false" customHeight="false" outlineLevel="0" collapsed="false">
      <c r="B35" s="4"/>
      <c r="C35" s="4"/>
      <c r="D35" s="5"/>
      <c r="E35" s="5"/>
      <c r="F35" s="5"/>
      <c r="G35" s="5"/>
      <c r="H35" s="5"/>
      <c r="I35" s="5"/>
      <c r="J35" s="5"/>
      <c r="K35" s="5"/>
      <c r="L35" s="5"/>
      <c r="M35" s="5"/>
      <c r="N35" s="5"/>
      <c r="O35" s="5"/>
      <c r="P35" s="5"/>
      <c r="Q35" s="5"/>
      <c r="R35" s="5"/>
      <c r="S35" s="5"/>
      <c r="T35" s="5"/>
      <c r="U35" s="5"/>
    </row>
    <row r="36" customFormat="false" ht="14.4" hidden="false" customHeight="false" outlineLevel="0" collapsed="false">
      <c r="B36" s="4"/>
      <c r="C36" s="4"/>
      <c r="D36" s="5"/>
      <c r="E36" s="5"/>
      <c r="F36" s="5"/>
      <c r="G36" s="5"/>
      <c r="H36" s="5"/>
      <c r="I36" s="5"/>
      <c r="J36" s="5"/>
      <c r="K36" s="5"/>
      <c r="L36" s="5"/>
      <c r="M36" s="5"/>
      <c r="N36" s="5"/>
      <c r="O36" s="5"/>
      <c r="P36" s="5"/>
      <c r="Q36" s="5"/>
      <c r="R36" s="5"/>
      <c r="S36" s="5"/>
      <c r="T36" s="5"/>
      <c r="U36" s="5"/>
    </row>
    <row r="37" customFormat="false" ht="15" hidden="false" customHeight="false" outlineLevel="0" collapsed="false">
      <c r="B37" s="4"/>
      <c r="C37" s="4"/>
      <c r="D37" s="5"/>
      <c r="E37" s="5"/>
      <c r="F37" s="5"/>
      <c r="G37" s="5"/>
      <c r="H37" s="5"/>
      <c r="I37" s="5"/>
      <c r="J37" s="5"/>
      <c r="K37" s="5"/>
      <c r="L37" s="5"/>
      <c r="M37" s="5"/>
      <c r="N37" s="5"/>
      <c r="O37" s="5"/>
      <c r="P37" s="5"/>
      <c r="Q37" s="5"/>
      <c r="R37" s="5"/>
      <c r="S37" s="5"/>
      <c r="T37" s="5"/>
      <c r="U37" s="5"/>
    </row>
    <row r="38" customFormat="false" ht="14.4" hidden="false" customHeight="true" outlineLevel="0" collapsed="false">
      <c r="B38" s="4" t="s">
        <v>15</v>
      </c>
      <c r="C38" s="4"/>
      <c r="D38" s="10" t="s">
        <v>16</v>
      </c>
      <c r="E38" s="10"/>
      <c r="F38" s="10"/>
      <c r="G38" s="10"/>
      <c r="H38" s="10"/>
      <c r="I38" s="10"/>
      <c r="J38" s="10"/>
      <c r="K38" s="10"/>
      <c r="L38" s="10"/>
      <c r="M38" s="10"/>
      <c r="N38" s="10"/>
      <c r="O38" s="10"/>
      <c r="P38" s="10"/>
      <c r="Q38" s="10"/>
      <c r="R38" s="10"/>
      <c r="S38" s="10"/>
      <c r="T38" s="10"/>
      <c r="U38" s="10"/>
    </row>
    <row r="39" customFormat="false" ht="14.4" hidden="false" customHeight="false" outlineLevel="0" collapsed="false">
      <c r="B39" s="4"/>
      <c r="C39" s="4"/>
      <c r="D39" s="10"/>
      <c r="E39" s="10"/>
      <c r="F39" s="10"/>
      <c r="G39" s="10"/>
      <c r="H39" s="10"/>
      <c r="I39" s="10"/>
      <c r="J39" s="10"/>
      <c r="K39" s="10"/>
      <c r="L39" s="10"/>
      <c r="M39" s="10"/>
      <c r="N39" s="10"/>
      <c r="O39" s="10"/>
      <c r="P39" s="10"/>
      <c r="Q39" s="10"/>
      <c r="R39" s="10"/>
      <c r="S39" s="10"/>
      <c r="T39" s="10"/>
      <c r="U39" s="10"/>
    </row>
    <row r="40" customFormat="false" ht="14.4" hidden="false" customHeight="false" outlineLevel="0" collapsed="false">
      <c r="B40" s="4"/>
      <c r="C40" s="4"/>
      <c r="D40" s="10"/>
      <c r="E40" s="10"/>
      <c r="F40" s="10"/>
      <c r="G40" s="10"/>
      <c r="H40" s="10"/>
      <c r="I40" s="10"/>
      <c r="J40" s="10"/>
      <c r="K40" s="10"/>
      <c r="L40" s="10"/>
      <c r="M40" s="10"/>
      <c r="N40" s="10"/>
      <c r="O40" s="10"/>
      <c r="P40" s="10"/>
      <c r="Q40" s="10"/>
      <c r="R40" s="10"/>
      <c r="S40" s="10"/>
      <c r="T40" s="10"/>
      <c r="U40" s="10"/>
    </row>
    <row r="41" customFormat="false" ht="15" hidden="false" customHeight="false" outlineLevel="0" collapsed="false">
      <c r="B41" s="4"/>
      <c r="C41" s="4"/>
      <c r="D41" s="10"/>
      <c r="E41" s="10"/>
      <c r="F41" s="10"/>
      <c r="G41" s="10"/>
      <c r="H41" s="10"/>
      <c r="I41" s="10"/>
      <c r="J41" s="10"/>
      <c r="K41" s="10"/>
      <c r="L41" s="10"/>
      <c r="M41" s="10"/>
      <c r="N41" s="10"/>
      <c r="O41" s="10"/>
      <c r="P41" s="10"/>
      <c r="Q41" s="10"/>
      <c r="R41" s="10"/>
      <c r="S41" s="10"/>
      <c r="T41" s="10"/>
      <c r="U41" s="10"/>
    </row>
    <row r="42" customFormat="false" ht="14.4" hidden="false" customHeight="true" outlineLevel="0" collapsed="false">
      <c r="B42" s="4" t="s">
        <v>15</v>
      </c>
      <c r="C42" s="4"/>
      <c r="D42" s="10" t="s">
        <v>17</v>
      </c>
      <c r="E42" s="10"/>
      <c r="F42" s="10"/>
      <c r="G42" s="10"/>
      <c r="H42" s="10"/>
      <c r="I42" s="10"/>
      <c r="J42" s="10"/>
      <c r="K42" s="10"/>
      <c r="L42" s="10"/>
      <c r="M42" s="10"/>
      <c r="N42" s="10"/>
      <c r="O42" s="10"/>
      <c r="P42" s="10"/>
      <c r="Q42" s="10"/>
      <c r="R42" s="10"/>
      <c r="S42" s="10"/>
      <c r="T42" s="10"/>
      <c r="U42" s="10"/>
    </row>
    <row r="43" customFormat="false" ht="14.4" hidden="false" customHeight="false" outlineLevel="0" collapsed="false">
      <c r="B43" s="4"/>
      <c r="C43" s="4"/>
      <c r="D43" s="10"/>
      <c r="E43" s="10"/>
      <c r="F43" s="10"/>
      <c r="G43" s="10"/>
      <c r="H43" s="10"/>
      <c r="I43" s="10"/>
      <c r="J43" s="10"/>
      <c r="K43" s="10"/>
      <c r="L43" s="10"/>
      <c r="M43" s="10"/>
      <c r="N43" s="10"/>
      <c r="O43" s="10"/>
      <c r="P43" s="10"/>
      <c r="Q43" s="10"/>
      <c r="R43" s="10"/>
      <c r="S43" s="10"/>
      <c r="T43" s="10"/>
      <c r="U43" s="10"/>
    </row>
    <row r="44" customFormat="false" ht="14.4" hidden="false" customHeight="false" outlineLevel="0" collapsed="false">
      <c r="B44" s="4"/>
      <c r="C44" s="4"/>
      <c r="D44" s="10"/>
      <c r="E44" s="10"/>
      <c r="F44" s="10"/>
      <c r="G44" s="10"/>
      <c r="H44" s="10"/>
      <c r="I44" s="10"/>
      <c r="J44" s="10"/>
      <c r="K44" s="10"/>
      <c r="L44" s="10"/>
      <c r="M44" s="10"/>
      <c r="N44" s="10"/>
      <c r="O44" s="10"/>
      <c r="P44" s="10"/>
      <c r="Q44" s="10"/>
      <c r="R44" s="10"/>
      <c r="S44" s="10"/>
      <c r="T44" s="10"/>
      <c r="U44" s="10"/>
    </row>
    <row r="45" customFormat="false" ht="15" hidden="false" customHeight="false" outlineLevel="0" collapsed="false">
      <c r="B45" s="4"/>
      <c r="C45" s="4"/>
      <c r="D45" s="10"/>
      <c r="E45" s="10"/>
      <c r="F45" s="10"/>
      <c r="G45" s="10"/>
      <c r="H45" s="10"/>
      <c r="I45" s="10"/>
      <c r="J45" s="10"/>
      <c r="K45" s="10"/>
      <c r="L45" s="10"/>
      <c r="M45" s="10"/>
      <c r="N45" s="10"/>
      <c r="O45" s="10"/>
      <c r="P45" s="10"/>
      <c r="Q45" s="10"/>
      <c r="R45" s="10"/>
      <c r="S45" s="10"/>
      <c r="T45" s="10"/>
      <c r="U45" s="10"/>
    </row>
    <row r="46" customFormat="false" ht="14.4" hidden="false" customHeight="true" outlineLevel="0" collapsed="false">
      <c r="B46" s="4" t="s">
        <v>15</v>
      </c>
      <c r="C46" s="4"/>
      <c r="D46" s="5" t="s">
        <v>18</v>
      </c>
      <c r="E46" s="5"/>
      <c r="F46" s="5"/>
      <c r="G46" s="5"/>
      <c r="H46" s="5"/>
      <c r="I46" s="5"/>
      <c r="J46" s="5"/>
      <c r="K46" s="5"/>
      <c r="L46" s="5"/>
      <c r="M46" s="5"/>
      <c r="N46" s="5"/>
      <c r="O46" s="5"/>
      <c r="P46" s="5"/>
      <c r="Q46" s="5"/>
      <c r="R46" s="5"/>
      <c r="S46" s="5"/>
      <c r="T46" s="5"/>
      <c r="U46" s="5"/>
    </row>
    <row r="47" customFormat="false" ht="14.4" hidden="false" customHeight="false" outlineLevel="0" collapsed="false">
      <c r="B47" s="4"/>
      <c r="C47" s="4"/>
      <c r="D47" s="5"/>
      <c r="E47" s="5"/>
      <c r="F47" s="5"/>
      <c r="G47" s="5"/>
      <c r="H47" s="5"/>
      <c r="I47" s="5"/>
      <c r="J47" s="5"/>
      <c r="K47" s="5"/>
      <c r="L47" s="5"/>
      <c r="M47" s="5"/>
      <c r="N47" s="5"/>
      <c r="O47" s="5"/>
      <c r="P47" s="5"/>
      <c r="Q47" s="5"/>
      <c r="R47" s="5"/>
      <c r="S47" s="5"/>
      <c r="T47" s="5"/>
      <c r="U47" s="5"/>
    </row>
    <row r="48" customFormat="false" ht="14.4" hidden="false" customHeight="false" outlineLevel="0" collapsed="false">
      <c r="B48" s="4"/>
      <c r="C48" s="4"/>
      <c r="D48" s="5"/>
      <c r="E48" s="5"/>
      <c r="F48" s="5"/>
      <c r="G48" s="5"/>
      <c r="H48" s="5"/>
      <c r="I48" s="5"/>
      <c r="J48" s="5"/>
      <c r="K48" s="5"/>
      <c r="L48" s="5"/>
      <c r="M48" s="5"/>
      <c r="N48" s="5"/>
      <c r="O48" s="5"/>
      <c r="P48" s="5"/>
      <c r="Q48" s="5"/>
      <c r="R48" s="5"/>
      <c r="S48" s="5"/>
      <c r="T48" s="5"/>
      <c r="U48" s="5"/>
    </row>
    <row r="49" customFormat="false" ht="15" hidden="false" customHeight="false" outlineLevel="0" collapsed="false">
      <c r="B49" s="4"/>
      <c r="C49" s="4"/>
      <c r="D49" s="5"/>
      <c r="E49" s="5"/>
      <c r="F49" s="5"/>
      <c r="G49" s="5"/>
      <c r="H49" s="5"/>
      <c r="I49" s="5"/>
      <c r="J49" s="5"/>
      <c r="K49" s="5"/>
      <c r="L49" s="5"/>
      <c r="M49" s="5"/>
      <c r="N49" s="5"/>
      <c r="O49" s="5"/>
      <c r="P49" s="5"/>
      <c r="Q49" s="5"/>
      <c r="R49" s="5"/>
      <c r="S49" s="5"/>
      <c r="T49" s="5"/>
      <c r="U49" s="5"/>
    </row>
    <row r="50" customFormat="false" ht="14.4" hidden="false" customHeight="true" outlineLevel="0" collapsed="false">
      <c r="B50" s="4" t="s">
        <v>15</v>
      </c>
      <c r="C50" s="4"/>
      <c r="D50" s="5" t="s">
        <v>19</v>
      </c>
      <c r="E50" s="5"/>
      <c r="F50" s="5"/>
      <c r="G50" s="5"/>
      <c r="H50" s="5"/>
      <c r="I50" s="5"/>
      <c r="J50" s="5"/>
      <c r="K50" s="5"/>
      <c r="L50" s="5"/>
      <c r="M50" s="5"/>
      <c r="N50" s="5"/>
      <c r="O50" s="5"/>
      <c r="P50" s="5"/>
      <c r="Q50" s="5"/>
      <c r="R50" s="5"/>
      <c r="S50" s="5"/>
      <c r="T50" s="5"/>
      <c r="U50" s="5"/>
    </row>
    <row r="51" customFormat="false" ht="14.4" hidden="false" customHeight="true" outlineLevel="0" collapsed="false">
      <c r="B51" s="4"/>
      <c r="C51" s="4"/>
      <c r="D51" s="5"/>
      <c r="E51" s="5"/>
      <c r="F51" s="5"/>
      <c r="G51" s="5"/>
      <c r="H51" s="5"/>
      <c r="I51" s="5"/>
      <c r="J51" s="5"/>
      <c r="K51" s="5"/>
      <c r="L51" s="5"/>
      <c r="M51" s="5"/>
      <c r="N51" s="5"/>
      <c r="O51" s="5"/>
      <c r="P51" s="5"/>
      <c r="Q51" s="5"/>
      <c r="R51" s="5"/>
      <c r="S51" s="5"/>
      <c r="T51" s="5"/>
      <c r="U51" s="5"/>
    </row>
    <row r="52" customFormat="false" ht="14.4" hidden="false" customHeight="true" outlineLevel="0" collapsed="false">
      <c r="B52" s="4"/>
      <c r="C52" s="4"/>
      <c r="D52" s="5"/>
      <c r="E52" s="5"/>
      <c r="F52" s="5"/>
      <c r="G52" s="5"/>
      <c r="H52" s="5"/>
      <c r="I52" s="5"/>
      <c r="J52" s="5"/>
      <c r="K52" s="5"/>
      <c r="L52" s="5"/>
      <c r="M52" s="5"/>
      <c r="N52" s="5"/>
      <c r="O52" s="5"/>
      <c r="P52" s="5"/>
      <c r="Q52" s="5"/>
      <c r="R52" s="5"/>
      <c r="S52" s="5"/>
      <c r="T52" s="5"/>
      <c r="U52" s="5"/>
    </row>
    <row r="53" customFormat="false" ht="15" hidden="false" customHeight="true" outlineLevel="0" collapsed="false">
      <c r="B53" s="4"/>
      <c r="C53" s="4"/>
      <c r="D53" s="5"/>
      <c r="E53" s="5"/>
      <c r="F53" s="5"/>
      <c r="G53" s="5"/>
      <c r="H53" s="5"/>
      <c r="I53" s="5"/>
      <c r="J53" s="5"/>
      <c r="K53" s="5"/>
      <c r="L53" s="5"/>
      <c r="M53" s="5"/>
      <c r="N53" s="5"/>
      <c r="O53" s="5"/>
      <c r="P53" s="5"/>
      <c r="Q53" s="5"/>
      <c r="R53" s="5"/>
      <c r="S53" s="5"/>
      <c r="T53" s="5"/>
      <c r="U53" s="5"/>
    </row>
    <row r="54" customFormat="false" ht="14.4" hidden="false" customHeight="true" outlineLevel="0" collapsed="false">
      <c r="B54" s="4" t="s">
        <v>15</v>
      </c>
      <c r="C54" s="4"/>
      <c r="D54" s="10" t="s">
        <v>20</v>
      </c>
      <c r="E54" s="10"/>
      <c r="F54" s="10"/>
      <c r="G54" s="10"/>
      <c r="H54" s="10"/>
      <c r="I54" s="10"/>
      <c r="J54" s="10"/>
      <c r="K54" s="10"/>
      <c r="L54" s="10"/>
      <c r="M54" s="10"/>
      <c r="N54" s="10"/>
      <c r="O54" s="10"/>
      <c r="P54" s="10"/>
      <c r="Q54" s="10"/>
      <c r="R54" s="10"/>
      <c r="S54" s="10"/>
      <c r="T54" s="10"/>
      <c r="U54" s="10"/>
    </row>
    <row r="55" customFormat="false" ht="14.4" hidden="false" customHeight="true" outlineLevel="0" collapsed="false">
      <c r="B55" s="4"/>
      <c r="C55" s="4"/>
      <c r="D55" s="10"/>
      <c r="E55" s="10"/>
      <c r="F55" s="10"/>
      <c r="G55" s="10"/>
      <c r="H55" s="10"/>
      <c r="I55" s="10"/>
      <c r="J55" s="10"/>
      <c r="K55" s="10"/>
      <c r="L55" s="10"/>
      <c r="M55" s="10"/>
      <c r="N55" s="10"/>
      <c r="O55" s="10"/>
      <c r="P55" s="10"/>
      <c r="Q55" s="10"/>
      <c r="R55" s="10"/>
      <c r="S55" s="10"/>
      <c r="T55" s="10"/>
      <c r="U55" s="10"/>
    </row>
    <row r="56" customFormat="false" ht="14.4" hidden="false" customHeight="true" outlineLevel="0" collapsed="false">
      <c r="B56" s="4"/>
      <c r="C56" s="4"/>
      <c r="D56" s="10"/>
      <c r="E56" s="10"/>
      <c r="F56" s="10"/>
      <c r="G56" s="10"/>
      <c r="H56" s="10"/>
      <c r="I56" s="10"/>
      <c r="J56" s="10"/>
      <c r="K56" s="10"/>
      <c r="L56" s="10"/>
      <c r="M56" s="10"/>
      <c r="N56" s="10"/>
      <c r="O56" s="10"/>
      <c r="P56" s="10"/>
      <c r="Q56" s="10"/>
      <c r="R56" s="10"/>
      <c r="S56" s="10"/>
      <c r="T56" s="10"/>
      <c r="U56" s="10"/>
    </row>
    <row r="57" customFormat="false" ht="15" hidden="false" customHeight="true" outlineLevel="0" collapsed="false">
      <c r="B57" s="4"/>
      <c r="C57" s="4"/>
      <c r="D57" s="10"/>
      <c r="E57" s="10"/>
      <c r="F57" s="10"/>
      <c r="G57" s="10"/>
      <c r="H57" s="10"/>
      <c r="I57" s="10"/>
      <c r="J57" s="10"/>
      <c r="K57" s="10"/>
      <c r="L57" s="10"/>
      <c r="M57" s="10"/>
      <c r="N57" s="10"/>
      <c r="O57" s="10"/>
      <c r="P57" s="10"/>
      <c r="Q57" s="10"/>
      <c r="R57" s="10"/>
      <c r="S57" s="10"/>
      <c r="T57" s="10"/>
      <c r="U57" s="10"/>
    </row>
    <row r="58" customFormat="false" ht="19.95" hidden="false" customHeight="true" outlineLevel="0" collapsed="false">
      <c r="B58" s="4" t="s">
        <v>21</v>
      </c>
      <c r="C58" s="4"/>
      <c r="D58" s="5" t="s">
        <v>22</v>
      </c>
      <c r="E58" s="5"/>
      <c r="F58" s="5"/>
      <c r="G58" s="5"/>
      <c r="H58" s="5"/>
      <c r="I58" s="5"/>
      <c r="J58" s="5"/>
      <c r="K58" s="5"/>
      <c r="L58" s="5"/>
      <c r="M58" s="5"/>
      <c r="N58" s="5"/>
      <c r="O58" s="5"/>
      <c r="P58" s="5"/>
      <c r="Q58" s="5"/>
      <c r="R58" s="5"/>
      <c r="S58" s="5"/>
      <c r="T58" s="5"/>
      <c r="U58" s="5"/>
    </row>
    <row r="59" customFormat="false" ht="19.95" hidden="false" customHeight="true" outlineLevel="0" collapsed="false">
      <c r="B59" s="4"/>
      <c r="C59" s="4"/>
      <c r="D59" s="5"/>
      <c r="E59" s="5"/>
      <c r="F59" s="5"/>
      <c r="G59" s="5"/>
      <c r="H59" s="5"/>
      <c r="I59" s="5"/>
      <c r="J59" s="5"/>
      <c r="K59" s="5"/>
      <c r="L59" s="5"/>
      <c r="M59" s="5"/>
      <c r="N59" s="5"/>
      <c r="O59" s="5"/>
      <c r="P59" s="5"/>
      <c r="Q59" s="5"/>
      <c r="R59" s="5"/>
      <c r="S59" s="5"/>
      <c r="T59" s="5"/>
      <c r="U59" s="5"/>
    </row>
    <row r="60" customFormat="false" ht="19.95" hidden="false" customHeight="true" outlineLevel="0" collapsed="false">
      <c r="B60" s="4"/>
      <c r="C60" s="4"/>
      <c r="D60" s="5"/>
      <c r="E60" s="5"/>
      <c r="F60" s="5"/>
      <c r="G60" s="5"/>
      <c r="H60" s="5"/>
      <c r="I60" s="5"/>
      <c r="J60" s="5"/>
      <c r="K60" s="5"/>
      <c r="L60" s="5"/>
      <c r="M60" s="5"/>
      <c r="N60" s="5"/>
      <c r="O60" s="5"/>
      <c r="P60" s="5"/>
      <c r="Q60" s="5"/>
      <c r="R60" s="5"/>
      <c r="S60" s="5"/>
      <c r="T60" s="5"/>
      <c r="U60" s="5"/>
    </row>
    <row r="61" customFormat="false" ht="19.95" hidden="false" customHeight="true" outlineLevel="0" collapsed="false">
      <c r="B61" s="4"/>
      <c r="C61" s="4"/>
      <c r="D61" s="5"/>
      <c r="E61" s="5"/>
      <c r="F61" s="5"/>
      <c r="G61" s="5"/>
      <c r="H61" s="5"/>
      <c r="I61" s="5"/>
      <c r="J61" s="5"/>
      <c r="K61" s="5"/>
      <c r="L61" s="5"/>
      <c r="M61" s="5"/>
      <c r="N61" s="5"/>
      <c r="O61" s="5"/>
      <c r="P61" s="5"/>
      <c r="Q61" s="5"/>
      <c r="R61" s="5"/>
      <c r="S61" s="5"/>
      <c r="T61" s="5"/>
      <c r="U61" s="5"/>
    </row>
    <row r="62" customFormat="false" ht="14.4" hidden="false" customHeight="true" outlineLevel="0" collapsed="false">
      <c r="B62" s="4" t="s">
        <v>21</v>
      </c>
      <c r="C62" s="4"/>
      <c r="D62" s="10" t="s">
        <v>23</v>
      </c>
      <c r="E62" s="10"/>
      <c r="F62" s="10"/>
      <c r="G62" s="10"/>
      <c r="H62" s="10"/>
      <c r="I62" s="10"/>
      <c r="J62" s="10"/>
      <c r="K62" s="10"/>
      <c r="L62" s="10"/>
      <c r="M62" s="10"/>
      <c r="N62" s="10"/>
      <c r="O62" s="10"/>
      <c r="P62" s="10"/>
      <c r="Q62" s="10"/>
      <c r="R62" s="10"/>
      <c r="S62" s="10"/>
      <c r="T62" s="10"/>
      <c r="U62" s="10"/>
    </row>
    <row r="63" customFormat="false" ht="14.4" hidden="false" customHeight="false" outlineLevel="0" collapsed="false">
      <c r="B63" s="4"/>
      <c r="C63" s="4"/>
      <c r="D63" s="10"/>
      <c r="E63" s="10"/>
      <c r="F63" s="10"/>
      <c r="G63" s="10"/>
      <c r="H63" s="10"/>
      <c r="I63" s="10"/>
      <c r="J63" s="10"/>
      <c r="K63" s="10"/>
      <c r="L63" s="10"/>
      <c r="M63" s="10"/>
      <c r="N63" s="10"/>
      <c r="O63" s="10"/>
      <c r="P63" s="10"/>
      <c r="Q63" s="10"/>
      <c r="R63" s="10"/>
      <c r="S63" s="10"/>
      <c r="T63" s="10"/>
      <c r="U63" s="10"/>
    </row>
    <row r="64" customFormat="false" ht="14.4" hidden="false" customHeight="false" outlineLevel="0" collapsed="false">
      <c r="B64" s="4"/>
      <c r="C64" s="4"/>
      <c r="D64" s="10"/>
      <c r="E64" s="10"/>
      <c r="F64" s="10"/>
      <c r="G64" s="10"/>
      <c r="H64" s="10"/>
      <c r="I64" s="10"/>
      <c r="J64" s="10"/>
      <c r="K64" s="10"/>
      <c r="L64" s="10"/>
      <c r="M64" s="10"/>
      <c r="N64" s="10"/>
      <c r="O64" s="10"/>
      <c r="P64" s="10"/>
      <c r="Q64" s="10"/>
      <c r="R64" s="10"/>
      <c r="S64" s="10"/>
      <c r="T64" s="10"/>
      <c r="U64" s="10"/>
    </row>
    <row r="65" customFormat="false" ht="15" hidden="false" customHeight="false" outlineLevel="0" collapsed="false">
      <c r="B65" s="4"/>
      <c r="C65" s="4"/>
      <c r="D65" s="10"/>
      <c r="E65" s="10"/>
      <c r="F65" s="10"/>
      <c r="G65" s="10"/>
      <c r="H65" s="10"/>
      <c r="I65" s="10"/>
      <c r="J65" s="10"/>
      <c r="K65" s="10"/>
      <c r="L65" s="10"/>
      <c r="M65" s="10"/>
      <c r="N65" s="10"/>
      <c r="O65" s="10"/>
      <c r="P65" s="10"/>
      <c r="Q65" s="10"/>
      <c r="R65" s="10"/>
      <c r="S65" s="10"/>
      <c r="T65" s="10"/>
      <c r="U65" s="10"/>
    </row>
    <row r="66" customFormat="false" ht="14.4" hidden="false" customHeight="false" outlineLevel="0" collapsed="false">
      <c r="B66" s="11"/>
      <c r="C66" s="11"/>
      <c r="D66" s="11"/>
      <c r="E66" s="11"/>
      <c r="F66" s="11"/>
      <c r="G66" s="11"/>
      <c r="H66" s="11"/>
      <c r="I66" s="11"/>
      <c r="J66" s="11"/>
      <c r="K66" s="11"/>
      <c r="L66" s="11"/>
      <c r="M66" s="11"/>
      <c r="N66" s="11"/>
      <c r="O66" s="11"/>
      <c r="P66" s="11"/>
      <c r="Q66" s="11"/>
      <c r="R66" s="11"/>
      <c r="S66" s="11"/>
      <c r="T66" s="11"/>
      <c r="U66" s="11"/>
    </row>
    <row r="67" customFormat="false" ht="14.4" hidden="false" customHeight="false" outlineLevel="0" collapsed="false">
      <c r="B67" s="11"/>
      <c r="C67" s="11"/>
      <c r="D67" s="11"/>
      <c r="E67" s="11"/>
      <c r="F67" s="11"/>
      <c r="G67" s="11"/>
      <c r="H67" s="11"/>
      <c r="I67" s="11"/>
      <c r="J67" s="11"/>
      <c r="K67" s="11"/>
      <c r="L67" s="11"/>
      <c r="M67" s="11"/>
      <c r="N67" s="11"/>
      <c r="O67" s="11"/>
      <c r="P67" s="11"/>
      <c r="Q67" s="11"/>
      <c r="R67" s="11"/>
      <c r="S67" s="11"/>
      <c r="T67" s="11"/>
      <c r="U67" s="11"/>
    </row>
    <row r="68" customFormat="false" ht="14.4" hidden="false" customHeight="false" outlineLevel="0" collapsed="false">
      <c r="B68" s="11"/>
      <c r="C68" s="11"/>
      <c r="D68" s="11"/>
      <c r="E68" s="11"/>
      <c r="F68" s="11"/>
      <c r="G68" s="11"/>
      <c r="H68" s="11"/>
      <c r="I68" s="11"/>
      <c r="J68" s="11"/>
      <c r="K68" s="11"/>
      <c r="L68" s="11"/>
      <c r="M68" s="11"/>
      <c r="N68" s="11"/>
      <c r="O68" s="11"/>
      <c r="P68" s="11"/>
      <c r="Q68" s="11"/>
      <c r="R68" s="11"/>
      <c r="S68" s="11"/>
      <c r="T68" s="11"/>
      <c r="U68" s="11"/>
    </row>
    <row r="69" customFormat="false" ht="14.4" hidden="false" customHeight="false" outlineLevel="0" collapsed="false">
      <c r="B69" s="11"/>
      <c r="C69" s="11"/>
      <c r="D69" s="11"/>
      <c r="E69" s="11"/>
      <c r="F69" s="11"/>
      <c r="G69" s="11"/>
      <c r="H69" s="11"/>
      <c r="I69" s="11"/>
      <c r="J69" s="11"/>
      <c r="K69" s="11"/>
      <c r="L69" s="11"/>
      <c r="M69" s="11"/>
      <c r="N69" s="11"/>
      <c r="O69" s="11"/>
      <c r="P69" s="11"/>
      <c r="Q69" s="11"/>
      <c r="R69" s="11"/>
      <c r="S69" s="11"/>
      <c r="T69" s="11"/>
      <c r="U69" s="11"/>
    </row>
    <row r="70" customFormat="false" ht="14.4" hidden="false" customHeight="false" outlineLevel="0" collapsed="false">
      <c r="B70" s="11"/>
      <c r="C70" s="11"/>
      <c r="D70" s="11"/>
      <c r="E70" s="11"/>
      <c r="F70" s="11"/>
      <c r="G70" s="11"/>
      <c r="H70" s="11"/>
      <c r="I70" s="11"/>
      <c r="J70" s="11"/>
      <c r="K70" s="11"/>
      <c r="L70" s="11"/>
      <c r="M70" s="11"/>
      <c r="N70" s="11"/>
      <c r="O70" s="11"/>
      <c r="P70" s="11"/>
      <c r="Q70" s="11"/>
      <c r="R70" s="11"/>
      <c r="S70" s="11"/>
      <c r="T70" s="11"/>
      <c r="U70" s="11"/>
    </row>
    <row r="71" customFormat="false" ht="14.4" hidden="false" customHeight="false" outlineLevel="0" collapsed="false">
      <c r="B71" s="11"/>
      <c r="C71" s="11"/>
      <c r="D71" s="11"/>
      <c r="E71" s="11"/>
      <c r="F71" s="11"/>
      <c r="G71" s="11"/>
      <c r="H71" s="11"/>
      <c r="I71" s="11"/>
      <c r="J71" s="11"/>
      <c r="K71" s="11"/>
      <c r="L71" s="11"/>
      <c r="M71" s="11"/>
      <c r="N71" s="11"/>
      <c r="O71" s="11"/>
      <c r="P71" s="11"/>
      <c r="Q71" s="11"/>
      <c r="R71" s="11"/>
      <c r="S71" s="11"/>
      <c r="T71" s="11"/>
      <c r="U71" s="11"/>
    </row>
    <row r="72" customFormat="false" ht="14.4" hidden="false" customHeight="false" outlineLevel="0" collapsed="false">
      <c r="B72" s="11"/>
      <c r="C72" s="11"/>
      <c r="D72" s="11"/>
      <c r="E72" s="11"/>
      <c r="F72" s="11"/>
      <c r="G72" s="11"/>
      <c r="H72" s="11"/>
      <c r="I72" s="11"/>
      <c r="J72" s="11"/>
      <c r="K72" s="11"/>
      <c r="L72" s="11"/>
      <c r="M72" s="11"/>
      <c r="N72" s="11"/>
      <c r="O72" s="11"/>
      <c r="P72" s="11"/>
      <c r="Q72" s="11"/>
      <c r="R72" s="11"/>
      <c r="S72" s="11"/>
      <c r="T72" s="11"/>
      <c r="U72" s="11"/>
    </row>
    <row r="73" customFormat="false" ht="14.4" hidden="false" customHeight="false" outlineLevel="0" collapsed="false">
      <c r="B73" s="11"/>
      <c r="C73" s="11"/>
      <c r="D73" s="11"/>
      <c r="E73" s="11"/>
      <c r="F73" s="11"/>
      <c r="G73" s="11"/>
      <c r="H73" s="11"/>
      <c r="I73" s="11"/>
      <c r="J73" s="11"/>
      <c r="K73" s="11"/>
      <c r="L73" s="11"/>
      <c r="M73" s="11"/>
      <c r="N73" s="11"/>
      <c r="O73" s="11"/>
      <c r="P73" s="11"/>
      <c r="Q73" s="11"/>
      <c r="R73" s="11"/>
      <c r="S73" s="11"/>
      <c r="T73" s="11"/>
      <c r="U73" s="11"/>
    </row>
    <row r="74" customFormat="false" ht="14.4" hidden="false" customHeight="false" outlineLevel="0" collapsed="false">
      <c r="B74" s="11"/>
      <c r="C74" s="11"/>
      <c r="D74" s="11"/>
      <c r="E74" s="11"/>
      <c r="F74" s="11"/>
      <c r="G74" s="11"/>
      <c r="H74" s="11"/>
      <c r="I74" s="11"/>
      <c r="J74" s="11"/>
      <c r="K74" s="11"/>
      <c r="L74" s="11"/>
      <c r="M74" s="11"/>
      <c r="N74" s="11"/>
      <c r="O74" s="11"/>
      <c r="P74" s="11"/>
      <c r="Q74" s="11"/>
      <c r="R74" s="11"/>
      <c r="S74" s="11"/>
      <c r="T74" s="11"/>
      <c r="U74" s="11"/>
    </row>
    <row r="75" customFormat="false" ht="14.4" hidden="false" customHeight="false" outlineLevel="0" collapsed="false">
      <c r="B75" s="11"/>
      <c r="C75" s="11"/>
      <c r="D75" s="11"/>
      <c r="E75" s="11"/>
      <c r="F75" s="11"/>
      <c r="G75" s="11"/>
      <c r="H75" s="11"/>
      <c r="I75" s="11"/>
      <c r="J75" s="11"/>
      <c r="K75" s="11"/>
      <c r="L75" s="11"/>
      <c r="M75" s="11"/>
      <c r="N75" s="11"/>
      <c r="O75" s="11"/>
      <c r="P75" s="11"/>
      <c r="Q75" s="11"/>
      <c r="R75" s="11"/>
      <c r="S75" s="11"/>
      <c r="T75" s="11"/>
      <c r="U75" s="11"/>
    </row>
    <row r="76" customFormat="false" ht="14.4" hidden="false" customHeight="false" outlineLevel="0" collapsed="false">
      <c r="B76" s="11"/>
      <c r="C76" s="11"/>
      <c r="D76" s="11"/>
      <c r="E76" s="11"/>
      <c r="F76" s="11"/>
      <c r="G76" s="11"/>
      <c r="H76" s="11"/>
      <c r="I76" s="11"/>
      <c r="J76" s="11"/>
      <c r="K76" s="11"/>
      <c r="L76" s="11"/>
      <c r="M76" s="11"/>
      <c r="N76" s="11"/>
      <c r="O76" s="11"/>
      <c r="P76" s="11"/>
      <c r="Q76" s="11"/>
      <c r="R76" s="11"/>
      <c r="S76" s="11"/>
      <c r="T76" s="11"/>
      <c r="U76" s="11"/>
    </row>
    <row r="77" customFormat="false" ht="14.4" hidden="false" customHeight="false" outlineLevel="0" collapsed="false">
      <c r="B77" s="11"/>
      <c r="C77" s="11"/>
      <c r="D77" s="11"/>
      <c r="E77" s="11"/>
      <c r="F77" s="11"/>
      <c r="G77" s="11"/>
      <c r="H77" s="11"/>
      <c r="I77" s="11"/>
      <c r="J77" s="11"/>
      <c r="K77" s="11"/>
      <c r="L77" s="11"/>
      <c r="M77" s="11"/>
      <c r="N77" s="11"/>
      <c r="O77" s="11"/>
      <c r="P77" s="11"/>
      <c r="Q77" s="11"/>
      <c r="R77" s="11"/>
      <c r="S77" s="11"/>
      <c r="T77" s="11"/>
      <c r="U77" s="11"/>
    </row>
    <row r="78" customFormat="false" ht="14.4" hidden="false" customHeight="false" outlineLevel="0" collapsed="false">
      <c r="B78" s="11"/>
      <c r="C78" s="11"/>
      <c r="D78" s="11"/>
      <c r="E78" s="11"/>
      <c r="F78" s="11"/>
      <c r="G78" s="11"/>
      <c r="H78" s="11"/>
      <c r="I78" s="11"/>
      <c r="J78" s="11"/>
      <c r="K78" s="11"/>
      <c r="L78" s="11"/>
      <c r="M78" s="11"/>
      <c r="N78" s="11"/>
      <c r="O78" s="11"/>
      <c r="P78" s="11"/>
      <c r="Q78" s="11"/>
      <c r="R78" s="11"/>
      <c r="S78" s="11"/>
      <c r="T78" s="11"/>
      <c r="U78" s="11"/>
    </row>
    <row r="79" customFormat="false" ht="14.4" hidden="false" customHeight="false" outlineLevel="0" collapsed="false">
      <c r="B79" s="11"/>
      <c r="C79" s="11"/>
      <c r="D79" s="11"/>
      <c r="E79" s="11"/>
      <c r="F79" s="11"/>
      <c r="G79" s="11"/>
      <c r="H79" s="11"/>
      <c r="I79" s="11"/>
      <c r="J79" s="11"/>
      <c r="K79" s="11"/>
      <c r="L79" s="11"/>
      <c r="M79" s="11"/>
      <c r="N79" s="11"/>
      <c r="O79" s="11"/>
      <c r="P79" s="11"/>
      <c r="Q79" s="11"/>
      <c r="R79" s="11"/>
      <c r="S79" s="11"/>
      <c r="T79" s="11"/>
      <c r="U79" s="11"/>
    </row>
    <row r="80" customFormat="false" ht="14.4" hidden="false" customHeight="false" outlineLevel="0" collapsed="false">
      <c r="B80" s="11"/>
      <c r="C80" s="11"/>
      <c r="D80" s="11"/>
      <c r="E80" s="11"/>
      <c r="F80" s="11"/>
      <c r="G80" s="11"/>
      <c r="H80" s="11"/>
      <c r="I80" s="11"/>
      <c r="J80" s="11"/>
      <c r="K80" s="11"/>
      <c r="L80" s="11"/>
      <c r="M80" s="11"/>
      <c r="N80" s="11"/>
      <c r="O80" s="11"/>
      <c r="P80" s="11"/>
      <c r="Q80" s="11"/>
      <c r="R80" s="11"/>
      <c r="S80" s="11"/>
      <c r="T80" s="11"/>
      <c r="U80" s="11"/>
    </row>
    <row r="81" customFormat="false" ht="14.4" hidden="false" customHeight="false" outlineLevel="0" collapsed="false">
      <c r="B81" s="11"/>
      <c r="C81" s="11"/>
      <c r="D81" s="11"/>
      <c r="E81" s="11"/>
      <c r="F81" s="11"/>
      <c r="G81" s="11"/>
      <c r="H81" s="11"/>
      <c r="I81" s="11"/>
      <c r="J81" s="11"/>
      <c r="K81" s="11"/>
      <c r="L81" s="11"/>
      <c r="M81" s="11"/>
      <c r="N81" s="11"/>
      <c r="O81" s="11"/>
      <c r="P81" s="11"/>
      <c r="Q81" s="11"/>
      <c r="R81" s="11"/>
      <c r="S81" s="11"/>
      <c r="T81" s="11"/>
      <c r="U81" s="11"/>
    </row>
    <row r="82" customFormat="false" ht="14.4" hidden="false" customHeight="false" outlineLevel="0" collapsed="false">
      <c r="B82" s="11"/>
      <c r="C82" s="11"/>
      <c r="D82" s="11"/>
      <c r="E82" s="11"/>
      <c r="F82" s="11"/>
      <c r="G82" s="11"/>
      <c r="H82" s="11"/>
      <c r="I82" s="11"/>
      <c r="J82" s="11"/>
      <c r="K82" s="11"/>
      <c r="L82" s="11"/>
      <c r="M82" s="11"/>
      <c r="N82" s="11"/>
      <c r="O82" s="11"/>
      <c r="P82" s="11"/>
      <c r="Q82" s="11"/>
      <c r="R82" s="11"/>
      <c r="S82" s="11"/>
      <c r="T82" s="11"/>
      <c r="U82" s="11"/>
    </row>
    <row r="83" customFormat="false" ht="14.4" hidden="false" customHeight="false" outlineLevel="0" collapsed="false">
      <c r="B83" s="11"/>
      <c r="C83" s="11"/>
      <c r="D83" s="11"/>
      <c r="E83" s="11"/>
      <c r="F83" s="11"/>
      <c r="G83" s="11"/>
      <c r="H83" s="11"/>
      <c r="I83" s="11"/>
      <c r="J83" s="11"/>
      <c r="K83" s="11"/>
      <c r="L83" s="11"/>
      <c r="M83" s="11"/>
      <c r="N83" s="11"/>
      <c r="O83" s="11"/>
      <c r="P83" s="11"/>
      <c r="Q83" s="11"/>
      <c r="R83" s="11"/>
      <c r="S83" s="11"/>
      <c r="T83" s="11"/>
      <c r="U83" s="11"/>
    </row>
    <row r="84" customFormat="false" ht="14.4" hidden="false" customHeight="false" outlineLevel="0" collapsed="false">
      <c r="B84" s="11"/>
      <c r="C84" s="11"/>
      <c r="D84" s="11"/>
      <c r="E84" s="11"/>
      <c r="F84" s="11"/>
      <c r="G84" s="11"/>
      <c r="H84" s="11"/>
      <c r="I84" s="11"/>
      <c r="J84" s="11"/>
      <c r="K84" s="11"/>
      <c r="L84" s="11"/>
      <c r="M84" s="11"/>
      <c r="N84" s="11"/>
      <c r="O84" s="11"/>
      <c r="P84" s="11"/>
      <c r="Q84" s="11"/>
      <c r="R84" s="11"/>
      <c r="S84" s="11"/>
      <c r="T84" s="11"/>
      <c r="U84" s="11"/>
    </row>
    <row r="85" customFormat="false" ht="14.4" hidden="false" customHeight="false" outlineLevel="0" collapsed="false">
      <c r="B85" s="11"/>
      <c r="C85" s="11"/>
      <c r="D85" s="11"/>
      <c r="E85" s="11"/>
      <c r="F85" s="11"/>
      <c r="G85" s="11"/>
      <c r="H85" s="11"/>
      <c r="I85" s="11"/>
      <c r="J85" s="11"/>
      <c r="K85" s="11"/>
      <c r="L85" s="11"/>
      <c r="M85" s="11"/>
      <c r="N85" s="11"/>
      <c r="O85" s="11"/>
      <c r="P85" s="11"/>
      <c r="Q85" s="11"/>
      <c r="R85" s="11"/>
      <c r="S85" s="11"/>
      <c r="T85" s="11"/>
      <c r="U85" s="11"/>
    </row>
    <row r="86" customFormat="false" ht="14.4" hidden="false" customHeight="false" outlineLevel="0" collapsed="false">
      <c r="B86" s="11"/>
      <c r="C86" s="11"/>
      <c r="D86" s="11"/>
      <c r="E86" s="11"/>
      <c r="F86" s="11"/>
      <c r="G86" s="11"/>
      <c r="H86" s="11"/>
      <c r="I86" s="11"/>
      <c r="J86" s="11"/>
      <c r="K86" s="11"/>
      <c r="L86" s="11"/>
      <c r="M86" s="11"/>
      <c r="N86" s="11"/>
      <c r="O86" s="11"/>
      <c r="P86" s="11"/>
      <c r="Q86" s="11"/>
      <c r="R86" s="11"/>
      <c r="S86" s="11"/>
      <c r="T86" s="11"/>
      <c r="U86" s="11"/>
    </row>
    <row r="87" customFormat="false" ht="14.4" hidden="false" customHeight="false" outlineLevel="0" collapsed="false">
      <c r="B87" s="11"/>
      <c r="C87" s="11"/>
      <c r="D87" s="11"/>
      <c r="E87" s="11"/>
      <c r="F87" s="11"/>
      <c r="G87" s="11"/>
      <c r="H87" s="11"/>
      <c r="I87" s="11"/>
      <c r="J87" s="11"/>
      <c r="K87" s="11"/>
      <c r="L87" s="11"/>
      <c r="M87" s="11"/>
      <c r="N87" s="11"/>
      <c r="O87" s="11"/>
      <c r="P87" s="11"/>
      <c r="Q87" s="11"/>
      <c r="R87" s="11"/>
      <c r="S87" s="11"/>
      <c r="T87" s="11"/>
      <c r="U87" s="11"/>
    </row>
    <row r="88" customFormat="false" ht="14.4" hidden="false" customHeight="false" outlineLevel="0" collapsed="false">
      <c r="B88" s="11"/>
      <c r="C88" s="11"/>
      <c r="D88" s="11"/>
      <c r="E88" s="11"/>
      <c r="F88" s="11"/>
      <c r="G88" s="11"/>
      <c r="H88" s="11"/>
      <c r="I88" s="11"/>
      <c r="J88" s="11"/>
      <c r="K88" s="11"/>
      <c r="L88" s="11"/>
      <c r="M88" s="11"/>
      <c r="N88" s="11"/>
      <c r="O88" s="11"/>
      <c r="P88" s="11"/>
      <c r="Q88" s="11"/>
      <c r="R88" s="11"/>
      <c r="S88" s="11"/>
      <c r="T88" s="11"/>
      <c r="U88" s="11"/>
    </row>
    <row r="89" customFormat="false" ht="14.4" hidden="false" customHeight="false" outlineLevel="0" collapsed="false">
      <c r="B89" s="11"/>
      <c r="C89" s="11"/>
      <c r="D89" s="11"/>
      <c r="E89" s="11"/>
      <c r="F89" s="11"/>
      <c r="G89" s="11"/>
      <c r="H89" s="11"/>
      <c r="I89" s="11"/>
      <c r="J89" s="11"/>
      <c r="K89" s="11"/>
      <c r="L89" s="11"/>
      <c r="M89" s="11"/>
      <c r="N89" s="11"/>
      <c r="O89" s="11"/>
      <c r="P89" s="11"/>
      <c r="Q89" s="11"/>
      <c r="R89" s="11"/>
      <c r="S89" s="11"/>
      <c r="T89" s="11"/>
      <c r="U89" s="11"/>
    </row>
    <row r="90" customFormat="false" ht="14.4" hidden="false" customHeight="false" outlineLevel="0" collapsed="false">
      <c r="B90" s="11"/>
      <c r="C90" s="11"/>
      <c r="D90" s="11"/>
      <c r="E90" s="11"/>
      <c r="F90" s="11"/>
      <c r="G90" s="11"/>
      <c r="H90" s="11"/>
      <c r="I90" s="11"/>
      <c r="J90" s="11"/>
      <c r="K90" s="11"/>
      <c r="L90" s="11"/>
      <c r="M90" s="11"/>
      <c r="N90" s="11"/>
      <c r="O90" s="11"/>
      <c r="P90" s="11"/>
      <c r="Q90" s="11"/>
      <c r="R90" s="11"/>
      <c r="S90" s="11"/>
      <c r="T90" s="11"/>
      <c r="U90" s="11"/>
    </row>
    <row r="91" customFormat="false" ht="14.4" hidden="false" customHeight="false" outlineLevel="0" collapsed="false">
      <c r="B91" s="11"/>
      <c r="C91" s="11"/>
      <c r="D91" s="11"/>
      <c r="E91" s="11"/>
      <c r="F91" s="11"/>
      <c r="G91" s="11"/>
      <c r="H91" s="11"/>
      <c r="I91" s="11"/>
      <c r="J91" s="11"/>
      <c r="K91" s="11"/>
      <c r="L91" s="11"/>
      <c r="M91" s="11"/>
      <c r="N91" s="11"/>
      <c r="O91" s="11"/>
      <c r="P91" s="11"/>
      <c r="Q91" s="11"/>
      <c r="R91" s="11"/>
      <c r="S91" s="11"/>
      <c r="T91" s="11"/>
      <c r="U91" s="11"/>
    </row>
    <row r="92" customFormat="false" ht="14.4" hidden="false" customHeight="false" outlineLevel="0" collapsed="false">
      <c r="B92" s="11"/>
      <c r="C92" s="11"/>
      <c r="D92" s="11"/>
      <c r="E92" s="11"/>
      <c r="F92" s="11"/>
      <c r="G92" s="11"/>
      <c r="H92" s="11"/>
      <c r="I92" s="11"/>
      <c r="J92" s="11"/>
      <c r="K92" s="11"/>
      <c r="L92" s="11"/>
      <c r="M92" s="11"/>
      <c r="N92" s="11"/>
      <c r="O92" s="11"/>
      <c r="P92" s="11"/>
      <c r="Q92" s="11"/>
      <c r="R92" s="11"/>
      <c r="S92" s="11"/>
      <c r="T92" s="11"/>
      <c r="U92" s="11"/>
    </row>
    <row r="93" customFormat="false" ht="14.4" hidden="false" customHeight="false" outlineLevel="0" collapsed="false">
      <c r="B93" s="11"/>
      <c r="C93" s="11"/>
      <c r="D93" s="11"/>
      <c r="E93" s="11"/>
      <c r="F93" s="11"/>
      <c r="G93" s="11"/>
      <c r="H93" s="11"/>
      <c r="I93" s="11"/>
      <c r="J93" s="11"/>
      <c r="K93" s="11"/>
      <c r="L93" s="11"/>
      <c r="M93" s="11"/>
      <c r="N93" s="11"/>
      <c r="O93" s="11"/>
      <c r="P93" s="11"/>
      <c r="Q93" s="11"/>
      <c r="R93" s="11"/>
      <c r="S93" s="11"/>
      <c r="T93" s="11"/>
      <c r="U93" s="11"/>
    </row>
    <row r="94" customFormat="false" ht="14.4" hidden="false" customHeight="false" outlineLevel="0" collapsed="false">
      <c r="B94" s="11"/>
      <c r="C94" s="11"/>
      <c r="D94" s="11"/>
      <c r="E94" s="11"/>
      <c r="F94" s="11"/>
      <c r="G94" s="11"/>
      <c r="H94" s="11"/>
      <c r="I94" s="11"/>
      <c r="J94" s="11"/>
      <c r="K94" s="11"/>
      <c r="L94" s="11"/>
      <c r="M94" s="11"/>
      <c r="N94" s="11"/>
      <c r="O94" s="11"/>
      <c r="P94" s="11"/>
      <c r="Q94" s="11"/>
      <c r="R94" s="11"/>
      <c r="S94" s="11"/>
      <c r="T94" s="11"/>
      <c r="U94" s="11"/>
    </row>
    <row r="95" customFormat="false" ht="14.4" hidden="false" customHeight="false" outlineLevel="0" collapsed="false">
      <c r="B95" s="11"/>
      <c r="C95" s="11"/>
      <c r="D95" s="11"/>
      <c r="E95" s="11"/>
      <c r="F95" s="11"/>
      <c r="G95" s="11"/>
      <c r="H95" s="11"/>
      <c r="I95" s="11"/>
      <c r="J95" s="11"/>
      <c r="K95" s="11"/>
      <c r="L95" s="11"/>
      <c r="M95" s="11"/>
      <c r="N95" s="11"/>
      <c r="O95" s="11"/>
      <c r="P95" s="11"/>
      <c r="Q95" s="11"/>
      <c r="R95" s="11"/>
      <c r="S95" s="11"/>
      <c r="T95" s="11"/>
      <c r="U95" s="11"/>
    </row>
    <row r="96" customFormat="false" ht="14.4" hidden="false" customHeight="false" outlineLevel="0" collapsed="false">
      <c r="B96" s="11"/>
      <c r="C96" s="11"/>
      <c r="D96" s="11"/>
      <c r="E96" s="11"/>
      <c r="F96" s="11"/>
      <c r="G96" s="11"/>
      <c r="H96" s="11"/>
      <c r="I96" s="11"/>
      <c r="J96" s="11"/>
      <c r="K96" s="11"/>
      <c r="L96" s="11"/>
      <c r="M96" s="11"/>
      <c r="N96" s="11"/>
      <c r="O96" s="11"/>
      <c r="P96" s="11"/>
      <c r="Q96" s="11"/>
      <c r="R96" s="11"/>
      <c r="S96" s="11"/>
      <c r="T96" s="11"/>
      <c r="U96" s="11"/>
    </row>
    <row r="97" customFormat="false" ht="14.4" hidden="false" customHeight="false" outlineLevel="0" collapsed="false">
      <c r="B97" s="11"/>
      <c r="C97" s="11"/>
      <c r="D97" s="11"/>
      <c r="E97" s="11"/>
      <c r="F97" s="11"/>
      <c r="G97" s="11"/>
      <c r="H97" s="11"/>
      <c r="I97" s="11"/>
      <c r="J97" s="11"/>
      <c r="K97" s="11"/>
      <c r="L97" s="11"/>
      <c r="M97" s="11"/>
      <c r="N97" s="11"/>
      <c r="O97" s="11"/>
      <c r="P97" s="11"/>
      <c r="Q97" s="11"/>
      <c r="R97" s="11"/>
      <c r="S97" s="11"/>
      <c r="T97" s="11"/>
      <c r="U97" s="11"/>
    </row>
    <row r="98" customFormat="false" ht="14.4" hidden="false" customHeight="false" outlineLevel="0" collapsed="false">
      <c r="B98" s="11"/>
      <c r="C98" s="11"/>
      <c r="D98" s="11"/>
      <c r="E98" s="11"/>
      <c r="F98" s="11"/>
      <c r="G98" s="11"/>
      <c r="H98" s="11"/>
      <c r="I98" s="11"/>
      <c r="J98" s="11"/>
      <c r="K98" s="11"/>
      <c r="L98" s="11"/>
      <c r="M98" s="11"/>
      <c r="N98" s="11"/>
      <c r="O98" s="11"/>
      <c r="P98" s="11"/>
      <c r="Q98" s="11"/>
      <c r="R98" s="11"/>
      <c r="S98" s="11"/>
      <c r="T98" s="11"/>
      <c r="U98" s="11"/>
    </row>
    <row r="99" customFormat="false" ht="14.4" hidden="false" customHeight="false" outlineLevel="0" collapsed="false">
      <c r="B99" s="11"/>
      <c r="C99" s="11"/>
      <c r="D99" s="11"/>
      <c r="E99" s="11"/>
      <c r="F99" s="11"/>
      <c r="G99" s="11"/>
      <c r="H99" s="11"/>
      <c r="I99" s="11"/>
      <c r="J99" s="11"/>
      <c r="K99" s="11"/>
      <c r="L99" s="11"/>
      <c r="M99" s="11"/>
      <c r="N99" s="11"/>
      <c r="O99" s="11"/>
      <c r="P99" s="11"/>
      <c r="Q99" s="11"/>
      <c r="R99" s="11"/>
      <c r="S99" s="11"/>
      <c r="T99" s="11"/>
      <c r="U99" s="11"/>
    </row>
    <row r="100" customFormat="false" ht="14.4" hidden="false" customHeight="false" outlineLevel="0" collapsed="false">
      <c r="B100" s="11"/>
      <c r="C100" s="11"/>
      <c r="D100" s="11"/>
      <c r="E100" s="11"/>
      <c r="F100" s="11"/>
      <c r="G100" s="11"/>
      <c r="H100" s="11"/>
      <c r="I100" s="11"/>
      <c r="J100" s="11"/>
      <c r="K100" s="11"/>
      <c r="L100" s="11"/>
      <c r="M100" s="11"/>
      <c r="N100" s="11"/>
      <c r="O100" s="11"/>
      <c r="P100" s="11"/>
      <c r="Q100" s="11"/>
      <c r="R100" s="11"/>
      <c r="S100" s="11"/>
      <c r="T100" s="11"/>
      <c r="U100" s="11"/>
    </row>
    <row r="101" customFormat="false" ht="14.4" hidden="false" customHeight="false" outlineLevel="0" collapsed="false">
      <c r="B101" s="11"/>
      <c r="C101" s="11"/>
      <c r="D101" s="11"/>
      <c r="E101" s="11"/>
      <c r="F101" s="11"/>
      <c r="G101" s="11"/>
      <c r="H101" s="11"/>
      <c r="I101" s="11"/>
      <c r="J101" s="11"/>
      <c r="K101" s="11"/>
      <c r="L101" s="11"/>
      <c r="M101" s="11"/>
      <c r="N101" s="11"/>
      <c r="O101" s="11"/>
      <c r="P101" s="11"/>
      <c r="Q101" s="11"/>
      <c r="R101" s="11"/>
      <c r="S101" s="11"/>
      <c r="T101" s="11"/>
      <c r="U101" s="11"/>
    </row>
    <row r="102" customFormat="false" ht="14.4" hidden="false" customHeight="false" outlineLevel="0" collapsed="false">
      <c r="B102" s="11"/>
      <c r="C102" s="11"/>
      <c r="D102" s="11"/>
      <c r="E102" s="11"/>
      <c r="F102" s="11"/>
      <c r="G102" s="11"/>
      <c r="H102" s="11"/>
      <c r="I102" s="11"/>
      <c r="J102" s="11"/>
      <c r="K102" s="11"/>
      <c r="L102" s="11"/>
      <c r="M102" s="11"/>
      <c r="N102" s="11"/>
      <c r="O102" s="11"/>
      <c r="P102" s="11"/>
      <c r="Q102" s="11"/>
      <c r="R102" s="11"/>
      <c r="S102" s="11"/>
      <c r="T102" s="11"/>
      <c r="U102" s="11"/>
    </row>
    <row r="103" customFormat="false" ht="14.4" hidden="false" customHeight="false" outlineLevel="0" collapsed="false">
      <c r="B103" s="11"/>
      <c r="C103" s="11"/>
      <c r="D103" s="11"/>
      <c r="E103" s="11"/>
      <c r="F103" s="11"/>
      <c r="G103" s="11"/>
      <c r="H103" s="11"/>
      <c r="I103" s="11"/>
      <c r="J103" s="11"/>
      <c r="K103" s="11"/>
      <c r="L103" s="11"/>
      <c r="M103" s="11"/>
      <c r="N103" s="11"/>
      <c r="O103" s="11"/>
      <c r="P103" s="11"/>
      <c r="Q103" s="11"/>
      <c r="R103" s="11"/>
      <c r="S103" s="11"/>
      <c r="T103" s="11"/>
      <c r="U103" s="11"/>
    </row>
    <row r="104" customFormat="false" ht="14.4" hidden="false" customHeight="false" outlineLevel="0" collapsed="false">
      <c r="B104" s="11"/>
      <c r="C104" s="11"/>
      <c r="D104" s="11"/>
      <c r="E104" s="11"/>
      <c r="F104" s="11"/>
      <c r="G104" s="11"/>
      <c r="H104" s="11"/>
      <c r="I104" s="11"/>
      <c r="J104" s="11"/>
      <c r="K104" s="11"/>
      <c r="L104" s="11"/>
      <c r="M104" s="11"/>
      <c r="N104" s="11"/>
      <c r="O104" s="11"/>
      <c r="P104" s="11"/>
      <c r="Q104" s="11"/>
      <c r="R104" s="11"/>
      <c r="S104" s="11"/>
      <c r="T104" s="11"/>
      <c r="U104" s="11"/>
    </row>
    <row r="105" customFormat="false" ht="14.4" hidden="false" customHeight="false" outlineLevel="0" collapsed="false">
      <c r="B105" s="11"/>
      <c r="C105" s="11"/>
      <c r="D105" s="11"/>
      <c r="E105" s="11"/>
      <c r="F105" s="11"/>
      <c r="G105" s="11"/>
      <c r="H105" s="11"/>
      <c r="I105" s="11"/>
      <c r="J105" s="11"/>
      <c r="K105" s="11"/>
      <c r="L105" s="11"/>
      <c r="M105" s="11"/>
      <c r="N105" s="11"/>
      <c r="O105" s="11"/>
      <c r="P105" s="11"/>
      <c r="Q105" s="11"/>
      <c r="R105" s="11"/>
      <c r="S105" s="11"/>
      <c r="T105" s="11"/>
      <c r="U105" s="11"/>
    </row>
    <row r="106" customFormat="false" ht="14.4" hidden="false" customHeight="false" outlineLevel="0" collapsed="false">
      <c r="B106" s="11"/>
      <c r="C106" s="11"/>
      <c r="D106" s="11"/>
      <c r="E106" s="11"/>
      <c r="F106" s="11"/>
      <c r="G106" s="11"/>
      <c r="H106" s="11"/>
      <c r="I106" s="11"/>
      <c r="J106" s="11"/>
      <c r="K106" s="11"/>
      <c r="L106" s="11"/>
      <c r="M106" s="11"/>
      <c r="N106" s="11"/>
      <c r="O106" s="11"/>
      <c r="P106" s="11"/>
      <c r="Q106" s="11"/>
      <c r="R106" s="11"/>
      <c r="S106" s="11"/>
      <c r="T106" s="11"/>
      <c r="U106" s="11"/>
    </row>
    <row r="107" customFormat="false" ht="14.4" hidden="false" customHeight="false" outlineLevel="0" collapsed="false">
      <c r="B107" s="11"/>
      <c r="C107" s="11"/>
      <c r="D107" s="11"/>
      <c r="E107" s="11"/>
      <c r="F107" s="11"/>
      <c r="G107" s="11"/>
      <c r="H107" s="11"/>
      <c r="I107" s="11"/>
      <c r="J107" s="11"/>
      <c r="K107" s="11"/>
      <c r="L107" s="11"/>
      <c r="M107" s="11"/>
      <c r="N107" s="11"/>
      <c r="O107" s="11"/>
      <c r="P107" s="11"/>
      <c r="Q107" s="11"/>
      <c r="R107" s="11"/>
      <c r="S107" s="11"/>
      <c r="T107" s="11"/>
      <c r="U107" s="11"/>
    </row>
    <row r="108" customFormat="false" ht="14.4" hidden="false" customHeight="false" outlineLevel="0" collapsed="false">
      <c r="B108" s="11"/>
      <c r="C108" s="11"/>
      <c r="D108" s="11"/>
      <c r="E108" s="11"/>
      <c r="F108" s="11"/>
      <c r="G108" s="11"/>
      <c r="H108" s="11"/>
      <c r="I108" s="11"/>
      <c r="J108" s="11"/>
      <c r="K108" s="11"/>
      <c r="L108" s="11"/>
      <c r="M108" s="11"/>
      <c r="N108" s="11"/>
      <c r="O108" s="11"/>
      <c r="P108" s="11"/>
      <c r="Q108" s="11"/>
      <c r="R108" s="11"/>
      <c r="S108" s="11"/>
      <c r="T108" s="11"/>
      <c r="U108" s="11"/>
    </row>
    <row r="109" customFormat="false" ht="14.4" hidden="false" customHeight="false" outlineLevel="0" collapsed="false">
      <c r="B109" s="11"/>
      <c r="C109" s="11"/>
      <c r="D109" s="11"/>
      <c r="E109" s="11"/>
      <c r="F109" s="11"/>
      <c r="G109" s="11"/>
      <c r="H109" s="11"/>
      <c r="I109" s="11"/>
      <c r="J109" s="11"/>
      <c r="K109" s="11"/>
      <c r="L109" s="11"/>
      <c r="M109" s="11"/>
      <c r="N109" s="11"/>
      <c r="O109" s="11"/>
      <c r="P109" s="11"/>
      <c r="Q109" s="11"/>
      <c r="R109" s="11"/>
      <c r="S109" s="11"/>
      <c r="T109" s="11"/>
      <c r="U109" s="11"/>
    </row>
    <row r="110" customFormat="false" ht="14.4" hidden="false" customHeight="false" outlineLevel="0" collapsed="false">
      <c r="B110" s="11"/>
      <c r="C110" s="11"/>
      <c r="D110" s="11"/>
      <c r="E110" s="11"/>
      <c r="F110" s="11"/>
      <c r="G110" s="11"/>
      <c r="H110" s="11"/>
      <c r="I110" s="11"/>
      <c r="J110" s="11"/>
      <c r="K110" s="11"/>
      <c r="L110" s="11"/>
      <c r="M110" s="11"/>
      <c r="N110" s="11"/>
      <c r="O110" s="11"/>
      <c r="P110" s="11"/>
      <c r="Q110" s="11"/>
      <c r="R110" s="11"/>
      <c r="S110" s="11"/>
      <c r="T110" s="11"/>
      <c r="U110" s="11"/>
    </row>
    <row r="111" customFormat="false" ht="14.4" hidden="false" customHeight="false" outlineLevel="0" collapsed="false">
      <c r="B111" s="11"/>
      <c r="C111" s="11"/>
      <c r="D111" s="11"/>
      <c r="E111" s="11"/>
      <c r="F111" s="11"/>
      <c r="G111" s="11"/>
      <c r="H111" s="11"/>
      <c r="I111" s="11"/>
      <c r="J111" s="11"/>
      <c r="K111" s="11"/>
      <c r="L111" s="11"/>
      <c r="M111" s="11"/>
      <c r="N111" s="11"/>
      <c r="O111" s="11"/>
      <c r="P111" s="11"/>
      <c r="Q111" s="11"/>
      <c r="R111" s="11"/>
      <c r="S111" s="11"/>
      <c r="T111" s="11"/>
      <c r="U111" s="11"/>
    </row>
    <row r="112" customFormat="false" ht="14.4" hidden="false" customHeight="false" outlineLevel="0" collapsed="false">
      <c r="B112" s="11"/>
      <c r="C112" s="11"/>
      <c r="D112" s="11"/>
      <c r="E112" s="11"/>
      <c r="F112" s="11"/>
      <c r="G112" s="11"/>
      <c r="H112" s="11"/>
      <c r="I112" s="11"/>
      <c r="J112" s="11"/>
      <c r="K112" s="11"/>
      <c r="L112" s="11"/>
      <c r="M112" s="11"/>
      <c r="N112" s="11"/>
      <c r="O112" s="11"/>
      <c r="P112" s="11"/>
      <c r="Q112" s="11"/>
      <c r="R112" s="11"/>
      <c r="S112" s="11"/>
      <c r="T112" s="11"/>
      <c r="U112" s="11"/>
    </row>
    <row r="113" customFormat="false" ht="14.4" hidden="false" customHeight="false" outlineLevel="0" collapsed="false">
      <c r="B113" s="11"/>
      <c r="C113" s="11"/>
      <c r="D113" s="11"/>
      <c r="E113" s="11"/>
      <c r="F113" s="11"/>
      <c r="G113" s="11"/>
      <c r="H113" s="11"/>
      <c r="I113" s="11"/>
      <c r="J113" s="11"/>
      <c r="K113" s="11"/>
      <c r="L113" s="11"/>
      <c r="M113" s="11"/>
      <c r="N113" s="11"/>
      <c r="O113" s="11"/>
      <c r="P113" s="11"/>
      <c r="Q113" s="11"/>
      <c r="R113" s="11"/>
      <c r="S113" s="11"/>
      <c r="T113" s="11"/>
      <c r="U113" s="11"/>
    </row>
    <row r="114" customFormat="false" ht="14.4" hidden="false" customHeight="false" outlineLevel="0" collapsed="false">
      <c r="B114" s="11"/>
      <c r="C114" s="11"/>
      <c r="D114" s="11"/>
      <c r="E114" s="11"/>
      <c r="F114" s="11"/>
      <c r="G114" s="11"/>
      <c r="H114" s="11"/>
      <c r="I114" s="11"/>
      <c r="J114" s="11"/>
      <c r="K114" s="11"/>
      <c r="L114" s="11"/>
      <c r="M114" s="11"/>
      <c r="N114" s="11"/>
      <c r="O114" s="11"/>
      <c r="P114" s="11"/>
      <c r="Q114" s="11"/>
      <c r="R114" s="11"/>
      <c r="S114" s="11"/>
      <c r="T114" s="11"/>
      <c r="U114" s="11"/>
    </row>
    <row r="115" customFormat="false" ht="14.4" hidden="false" customHeight="false" outlineLevel="0" collapsed="false">
      <c r="B115" s="11"/>
      <c r="C115" s="11"/>
      <c r="D115" s="11"/>
      <c r="E115" s="11"/>
      <c r="F115" s="11"/>
      <c r="G115" s="11"/>
      <c r="H115" s="11"/>
      <c r="I115" s="11"/>
      <c r="J115" s="11"/>
      <c r="K115" s="11"/>
      <c r="L115" s="11"/>
      <c r="M115" s="11"/>
      <c r="N115" s="11"/>
      <c r="O115" s="11"/>
      <c r="P115" s="11"/>
      <c r="Q115" s="11"/>
      <c r="R115" s="11"/>
      <c r="S115" s="11"/>
      <c r="T115" s="11"/>
      <c r="U115" s="11"/>
    </row>
    <row r="116" customFormat="false" ht="14.4" hidden="false" customHeight="false" outlineLevel="0" collapsed="false">
      <c r="B116" s="11"/>
      <c r="C116" s="11"/>
      <c r="D116" s="11"/>
      <c r="E116" s="11"/>
      <c r="F116" s="11"/>
      <c r="G116" s="11"/>
      <c r="H116" s="11"/>
      <c r="I116" s="11"/>
      <c r="J116" s="11"/>
      <c r="K116" s="11"/>
      <c r="L116" s="11"/>
      <c r="M116" s="11"/>
      <c r="N116" s="11"/>
      <c r="O116" s="11"/>
      <c r="P116" s="11"/>
      <c r="Q116" s="11"/>
      <c r="R116" s="11"/>
      <c r="S116" s="11"/>
      <c r="T116" s="11"/>
      <c r="U116" s="11"/>
    </row>
    <row r="117" customFormat="false" ht="14.4" hidden="false" customHeight="false" outlineLevel="0" collapsed="false">
      <c r="B117" s="11"/>
      <c r="C117" s="11"/>
      <c r="D117" s="11"/>
      <c r="E117" s="11"/>
      <c r="F117" s="11"/>
      <c r="G117" s="11"/>
      <c r="H117" s="11"/>
      <c r="I117" s="11"/>
      <c r="J117" s="11"/>
      <c r="K117" s="11"/>
      <c r="L117" s="11"/>
      <c r="M117" s="11"/>
      <c r="N117" s="11"/>
      <c r="O117" s="11"/>
      <c r="P117" s="11"/>
      <c r="Q117" s="11"/>
      <c r="R117" s="11"/>
      <c r="S117" s="11"/>
      <c r="T117" s="11"/>
      <c r="U117" s="11"/>
    </row>
    <row r="118" customFormat="false" ht="14.4" hidden="false" customHeight="false" outlineLevel="0" collapsed="false">
      <c r="B118" s="11"/>
      <c r="C118" s="11"/>
      <c r="D118" s="11"/>
      <c r="E118" s="11"/>
      <c r="F118" s="11"/>
      <c r="G118" s="11"/>
      <c r="H118" s="11"/>
      <c r="I118" s="11"/>
      <c r="J118" s="11"/>
      <c r="K118" s="11"/>
      <c r="L118" s="11"/>
      <c r="M118" s="11"/>
      <c r="N118" s="11"/>
      <c r="O118" s="11"/>
      <c r="P118" s="11"/>
      <c r="Q118" s="11"/>
      <c r="R118" s="11"/>
      <c r="S118" s="11"/>
      <c r="T118" s="11"/>
      <c r="U118" s="11"/>
    </row>
    <row r="119" customFormat="false" ht="14.4" hidden="false" customHeight="false" outlineLevel="0" collapsed="false">
      <c r="B119" s="11"/>
      <c r="C119" s="11"/>
      <c r="D119" s="11"/>
      <c r="E119" s="11"/>
      <c r="F119" s="11"/>
      <c r="G119" s="11"/>
      <c r="H119" s="11"/>
      <c r="I119" s="11"/>
      <c r="J119" s="11"/>
      <c r="K119" s="11"/>
      <c r="L119" s="11"/>
      <c r="M119" s="11"/>
      <c r="N119" s="11"/>
      <c r="O119" s="11"/>
      <c r="P119" s="11"/>
      <c r="Q119" s="11"/>
      <c r="R119" s="11"/>
      <c r="S119" s="11"/>
      <c r="T119" s="11"/>
      <c r="U119" s="11"/>
    </row>
    <row r="120" customFormat="false" ht="14.4" hidden="false" customHeight="false" outlineLevel="0" collapsed="false">
      <c r="B120" s="11"/>
      <c r="C120" s="11"/>
      <c r="D120" s="11"/>
      <c r="E120" s="11"/>
      <c r="F120" s="11"/>
      <c r="G120" s="11"/>
      <c r="H120" s="11"/>
      <c r="I120" s="11"/>
      <c r="J120" s="11"/>
      <c r="K120" s="11"/>
      <c r="L120" s="11"/>
      <c r="M120" s="11"/>
      <c r="N120" s="11"/>
      <c r="O120" s="11"/>
      <c r="P120" s="11"/>
      <c r="Q120" s="11"/>
      <c r="R120" s="11"/>
      <c r="S120" s="11"/>
      <c r="T120" s="11"/>
      <c r="U120" s="11"/>
    </row>
    <row r="121" customFormat="false" ht="14.4" hidden="false" customHeight="false" outlineLevel="0" collapsed="false">
      <c r="B121" s="11"/>
      <c r="C121" s="11"/>
      <c r="D121" s="11"/>
      <c r="E121" s="11"/>
      <c r="F121" s="11"/>
      <c r="G121" s="11"/>
      <c r="H121" s="11"/>
      <c r="I121" s="11"/>
      <c r="J121" s="11"/>
      <c r="K121" s="11"/>
      <c r="L121" s="11"/>
      <c r="M121" s="11"/>
      <c r="N121" s="11"/>
      <c r="O121" s="11"/>
      <c r="P121" s="11"/>
      <c r="Q121" s="11"/>
      <c r="R121" s="11"/>
      <c r="S121" s="11"/>
      <c r="T121" s="11"/>
      <c r="U121" s="11"/>
    </row>
    <row r="122" customFormat="false" ht="14.4" hidden="false" customHeight="false" outlineLevel="0" collapsed="false">
      <c r="B122" s="11"/>
      <c r="C122" s="11"/>
      <c r="D122" s="11"/>
      <c r="E122" s="11"/>
      <c r="F122" s="11"/>
      <c r="G122" s="11"/>
      <c r="H122" s="11"/>
      <c r="I122" s="11"/>
      <c r="J122" s="11"/>
      <c r="K122" s="11"/>
      <c r="L122" s="11"/>
      <c r="M122" s="11"/>
      <c r="N122" s="11"/>
      <c r="O122" s="11"/>
      <c r="P122" s="11"/>
      <c r="Q122" s="11"/>
      <c r="R122" s="11"/>
      <c r="S122" s="11"/>
      <c r="T122" s="11"/>
      <c r="U122" s="11"/>
    </row>
    <row r="123" customFormat="false" ht="14.4" hidden="false" customHeight="false" outlineLevel="0" collapsed="false">
      <c r="B123" s="11"/>
      <c r="C123" s="11"/>
      <c r="D123" s="11"/>
      <c r="E123" s="11"/>
      <c r="F123" s="11"/>
      <c r="G123" s="11"/>
      <c r="H123" s="11"/>
      <c r="I123" s="11"/>
      <c r="J123" s="11"/>
      <c r="K123" s="11"/>
      <c r="L123" s="11"/>
      <c r="M123" s="11"/>
      <c r="N123" s="11"/>
      <c r="O123" s="11"/>
      <c r="P123" s="11"/>
      <c r="Q123" s="11"/>
      <c r="R123" s="11"/>
      <c r="S123" s="11"/>
      <c r="T123" s="11"/>
      <c r="U123" s="11"/>
    </row>
    <row r="124" customFormat="false" ht="14.4" hidden="false" customHeight="false" outlineLevel="0" collapsed="false">
      <c r="B124" s="11"/>
      <c r="C124" s="11"/>
      <c r="D124" s="11"/>
      <c r="E124" s="11"/>
      <c r="F124" s="11"/>
      <c r="G124" s="11"/>
      <c r="H124" s="11"/>
      <c r="I124" s="11"/>
      <c r="J124" s="11"/>
      <c r="K124" s="11"/>
      <c r="L124" s="11"/>
      <c r="M124" s="11"/>
      <c r="N124" s="11"/>
      <c r="O124" s="11"/>
      <c r="P124" s="11"/>
      <c r="Q124" s="11"/>
      <c r="R124" s="11"/>
      <c r="S124" s="11"/>
      <c r="T124" s="11"/>
      <c r="U124" s="11"/>
    </row>
    <row r="125" customFormat="false" ht="14.4" hidden="false" customHeight="false" outlineLevel="0" collapsed="false">
      <c r="B125" s="11"/>
      <c r="C125" s="11"/>
      <c r="D125" s="11"/>
      <c r="E125" s="11"/>
      <c r="F125" s="11"/>
      <c r="G125" s="11"/>
      <c r="H125" s="11"/>
      <c r="I125" s="11"/>
      <c r="J125" s="11"/>
      <c r="K125" s="11"/>
      <c r="L125" s="11"/>
      <c r="M125" s="11"/>
      <c r="N125" s="11"/>
      <c r="O125" s="11"/>
      <c r="P125" s="11"/>
      <c r="Q125" s="11"/>
      <c r="R125" s="11"/>
      <c r="S125" s="11"/>
      <c r="T125" s="11"/>
      <c r="U125" s="11"/>
    </row>
    <row r="126" customFormat="false" ht="14.4" hidden="false" customHeight="false" outlineLevel="0" collapsed="false">
      <c r="B126" s="11"/>
      <c r="C126" s="11"/>
      <c r="D126" s="11"/>
      <c r="E126" s="11"/>
      <c r="F126" s="11"/>
      <c r="G126" s="11"/>
      <c r="H126" s="11"/>
      <c r="I126" s="11"/>
      <c r="J126" s="11"/>
      <c r="K126" s="11"/>
      <c r="L126" s="11"/>
      <c r="M126" s="11"/>
      <c r="N126" s="11"/>
      <c r="O126" s="11"/>
      <c r="P126" s="11"/>
      <c r="Q126" s="11"/>
      <c r="R126" s="11"/>
      <c r="S126" s="11"/>
      <c r="T126" s="11"/>
      <c r="U126" s="11"/>
    </row>
    <row r="127" customFormat="false" ht="14.4" hidden="false" customHeight="false" outlineLevel="0" collapsed="false">
      <c r="B127" s="11"/>
      <c r="C127" s="11"/>
      <c r="D127" s="11"/>
      <c r="E127" s="11"/>
      <c r="F127" s="11"/>
      <c r="G127" s="11"/>
      <c r="H127" s="11"/>
      <c r="I127" s="11"/>
      <c r="J127" s="11"/>
      <c r="K127" s="11"/>
      <c r="L127" s="11"/>
      <c r="M127" s="11"/>
      <c r="N127" s="11"/>
      <c r="O127" s="11"/>
      <c r="P127" s="11"/>
      <c r="Q127" s="11"/>
      <c r="R127" s="11"/>
      <c r="S127" s="11"/>
      <c r="T127" s="11"/>
      <c r="U127" s="11"/>
    </row>
    <row r="128" customFormat="false" ht="14.4" hidden="false" customHeight="false" outlineLevel="0" collapsed="false">
      <c r="B128" s="11"/>
      <c r="C128" s="11"/>
      <c r="D128" s="11"/>
      <c r="E128" s="11"/>
      <c r="F128" s="11"/>
      <c r="G128" s="11"/>
      <c r="H128" s="11"/>
      <c r="I128" s="11"/>
      <c r="J128" s="11"/>
      <c r="K128" s="11"/>
      <c r="L128" s="11"/>
      <c r="M128" s="11"/>
      <c r="N128" s="11"/>
      <c r="O128" s="11"/>
      <c r="P128" s="11"/>
      <c r="Q128" s="11"/>
      <c r="R128" s="11"/>
      <c r="S128" s="11"/>
      <c r="T128" s="11"/>
      <c r="U128" s="11"/>
    </row>
    <row r="129" customFormat="false" ht="14.4" hidden="false" customHeight="false" outlineLevel="0" collapsed="false">
      <c r="B129" s="11"/>
      <c r="C129" s="11"/>
      <c r="D129" s="11"/>
      <c r="E129" s="11"/>
      <c r="F129" s="11"/>
      <c r="G129" s="11"/>
      <c r="H129" s="11"/>
      <c r="I129" s="11"/>
      <c r="J129" s="11"/>
      <c r="K129" s="11"/>
      <c r="L129" s="11"/>
      <c r="M129" s="11"/>
      <c r="N129" s="11"/>
      <c r="O129" s="11"/>
      <c r="P129" s="11"/>
      <c r="Q129" s="11"/>
      <c r="R129" s="11"/>
      <c r="S129" s="11"/>
      <c r="T129" s="11"/>
      <c r="U129" s="11"/>
    </row>
    <row r="130" customFormat="false" ht="14.4" hidden="false" customHeight="false" outlineLevel="0" collapsed="false">
      <c r="B130" s="11"/>
      <c r="C130" s="11"/>
      <c r="D130" s="11"/>
      <c r="E130" s="11"/>
      <c r="F130" s="11"/>
      <c r="G130" s="11"/>
      <c r="H130" s="11"/>
      <c r="I130" s="11"/>
      <c r="J130" s="11"/>
      <c r="K130" s="11"/>
      <c r="L130" s="11"/>
      <c r="M130" s="11"/>
      <c r="N130" s="11"/>
      <c r="O130" s="11"/>
      <c r="P130" s="11"/>
      <c r="Q130" s="11"/>
      <c r="R130" s="11"/>
      <c r="S130" s="11"/>
      <c r="T130" s="11"/>
      <c r="U130" s="11"/>
    </row>
    <row r="131" customFormat="false" ht="14.4" hidden="false" customHeight="false" outlineLevel="0" collapsed="false">
      <c r="B131" s="11"/>
      <c r="C131" s="11"/>
      <c r="D131" s="11"/>
      <c r="E131" s="11"/>
      <c r="F131" s="11"/>
      <c r="G131" s="11"/>
      <c r="H131" s="11"/>
      <c r="I131" s="11"/>
      <c r="J131" s="11"/>
      <c r="K131" s="11"/>
      <c r="L131" s="11"/>
      <c r="M131" s="11"/>
      <c r="N131" s="11"/>
      <c r="O131" s="11"/>
      <c r="P131" s="11"/>
      <c r="Q131" s="11"/>
      <c r="R131" s="11"/>
      <c r="S131" s="11"/>
      <c r="T131" s="11"/>
      <c r="U131" s="11"/>
    </row>
    <row r="132" customFormat="false" ht="14.4" hidden="false" customHeight="false" outlineLevel="0" collapsed="false">
      <c r="B132" s="11"/>
      <c r="C132" s="11"/>
      <c r="D132" s="11"/>
      <c r="E132" s="11"/>
      <c r="F132" s="11"/>
      <c r="G132" s="11"/>
      <c r="H132" s="11"/>
      <c r="I132" s="11"/>
      <c r="J132" s="11"/>
      <c r="K132" s="11"/>
      <c r="L132" s="11"/>
      <c r="M132" s="11"/>
      <c r="N132" s="11"/>
      <c r="O132" s="11"/>
      <c r="P132" s="11"/>
      <c r="Q132" s="11"/>
      <c r="R132" s="11"/>
      <c r="S132" s="11"/>
      <c r="T132" s="11"/>
      <c r="U132" s="11"/>
    </row>
    <row r="133" customFormat="false" ht="14.4" hidden="false" customHeight="false" outlineLevel="0" collapsed="false">
      <c r="B133" s="11"/>
      <c r="C133" s="11"/>
      <c r="D133" s="11"/>
      <c r="E133" s="11"/>
      <c r="F133" s="11"/>
      <c r="G133" s="11"/>
      <c r="H133" s="11"/>
      <c r="I133" s="11"/>
      <c r="J133" s="11"/>
      <c r="K133" s="11"/>
      <c r="L133" s="11"/>
      <c r="M133" s="11"/>
      <c r="N133" s="11"/>
      <c r="O133" s="11"/>
      <c r="P133" s="11"/>
      <c r="Q133" s="11"/>
      <c r="R133" s="11"/>
      <c r="S133" s="11"/>
      <c r="T133" s="11"/>
      <c r="U133" s="11"/>
    </row>
    <row r="134" customFormat="false" ht="14.4" hidden="false" customHeight="false" outlineLevel="0" collapsed="false">
      <c r="B134" s="11"/>
      <c r="C134" s="11"/>
      <c r="D134" s="11"/>
      <c r="E134" s="11"/>
      <c r="F134" s="11"/>
      <c r="G134" s="11"/>
      <c r="H134" s="11"/>
      <c r="I134" s="11"/>
      <c r="J134" s="11"/>
      <c r="K134" s="11"/>
      <c r="L134" s="11"/>
      <c r="M134" s="11"/>
      <c r="N134" s="11"/>
      <c r="O134" s="11"/>
      <c r="P134" s="11"/>
      <c r="Q134" s="11"/>
      <c r="R134" s="11"/>
      <c r="S134" s="11"/>
      <c r="T134" s="11"/>
      <c r="U134" s="11"/>
    </row>
    <row r="135" customFormat="false" ht="14.4" hidden="false" customHeight="false" outlineLevel="0" collapsed="false">
      <c r="B135" s="11"/>
      <c r="C135" s="11"/>
      <c r="D135" s="11"/>
      <c r="E135" s="11"/>
      <c r="F135" s="11"/>
      <c r="G135" s="11"/>
      <c r="H135" s="11"/>
      <c r="I135" s="11"/>
      <c r="J135" s="11"/>
      <c r="K135" s="11"/>
      <c r="L135" s="11"/>
      <c r="M135" s="11"/>
      <c r="N135" s="11"/>
      <c r="O135" s="11"/>
      <c r="P135" s="11"/>
      <c r="Q135" s="11"/>
      <c r="R135" s="11"/>
      <c r="S135" s="11"/>
      <c r="T135" s="11"/>
      <c r="U135" s="11"/>
    </row>
    <row r="136" customFormat="false" ht="14.4" hidden="false" customHeight="false" outlineLevel="0" collapsed="false">
      <c r="B136" s="11"/>
      <c r="C136" s="11"/>
      <c r="D136" s="11"/>
      <c r="E136" s="11"/>
      <c r="F136" s="11"/>
      <c r="G136" s="11"/>
      <c r="H136" s="11"/>
      <c r="I136" s="11"/>
      <c r="J136" s="11"/>
      <c r="K136" s="11"/>
      <c r="L136" s="11"/>
      <c r="M136" s="11"/>
      <c r="N136" s="11"/>
      <c r="O136" s="11"/>
      <c r="P136" s="11"/>
      <c r="Q136" s="11"/>
      <c r="R136" s="11"/>
      <c r="S136" s="11"/>
      <c r="T136" s="11"/>
      <c r="U136" s="11"/>
    </row>
    <row r="137" customFormat="false" ht="14.4" hidden="false" customHeight="false" outlineLevel="0" collapsed="false">
      <c r="B137" s="11"/>
      <c r="C137" s="11"/>
      <c r="D137" s="11"/>
      <c r="E137" s="11"/>
      <c r="F137" s="11"/>
      <c r="G137" s="11"/>
      <c r="H137" s="11"/>
      <c r="I137" s="11"/>
      <c r="J137" s="11"/>
      <c r="K137" s="11"/>
      <c r="L137" s="11"/>
      <c r="M137" s="11"/>
      <c r="N137" s="11"/>
      <c r="O137" s="11"/>
      <c r="P137" s="11"/>
      <c r="Q137" s="11"/>
      <c r="R137" s="11"/>
      <c r="S137" s="11"/>
      <c r="T137" s="11"/>
      <c r="U137" s="11"/>
    </row>
    <row r="138" customFormat="false" ht="14.4" hidden="false" customHeight="false" outlineLevel="0" collapsed="false">
      <c r="B138" s="11"/>
      <c r="C138" s="11"/>
      <c r="D138" s="11"/>
      <c r="E138" s="11"/>
      <c r="F138" s="11"/>
      <c r="G138" s="11"/>
      <c r="H138" s="11"/>
      <c r="I138" s="11"/>
      <c r="J138" s="11"/>
      <c r="K138" s="11"/>
      <c r="L138" s="11"/>
      <c r="M138" s="11"/>
      <c r="N138" s="11"/>
      <c r="O138" s="11"/>
      <c r="P138" s="11"/>
      <c r="Q138" s="11"/>
      <c r="R138" s="11"/>
      <c r="S138" s="11"/>
      <c r="T138" s="11"/>
      <c r="U138" s="11"/>
    </row>
    <row r="139" customFormat="false" ht="14.4" hidden="false" customHeight="false" outlineLevel="0" collapsed="false">
      <c r="B139" s="11"/>
      <c r="C139" s="11"/>
      <c r="D139" s="11"/>
      <c r="E139" s="11"/>
      <c r="F139" s="11"/>
      <c r="G139" s="11"/>
      <c r="H139" s="11"/>
      <c r="I139" s="11"/>
      <c r="J139" s="11"/>
      <c r="K139" s="11"/>
      <c r="L139" s="11"/>
      <c r="M139" s="11"/>
      <c r="N139" s="11"/>
      <c r="O139" s="11"/>
      <c r="P139" s="11"/>
      <c r="Q139" s="11"/>
      <c r="R139" s="11"/>
      <c r="S139" s="11"/>
      <c r="T139" s="11"/>
      <c r="U139" s="11"/>
    </row>
    <row r="140" customFormat="false" ht="14.4" hidden="false" customHeight="false" outlineLevel="0" collapsed="false">
      <c r="B140" s="11"/>
      <c r="C140" s="11"/>
      <c r="D140" s="11"/>
      <c r="E140" s="11"/>
      <c r="F140" s="11"/>
      <c r="G140" s="11"/>
      <c r="H140" s="11"/>
      <c r="I140" s="11"/>
      <c r="J140" s="11"/>
      <c r="K140" s="11"/>
      <c r="L140" s="11"/>
      <c r="M140" s="11"/>
      <c r="N140" s="11"/>
      <c r="O140" s="11"/>
      <c r="P140" s="11"/>
      <c r="Q140" s="11"/>
      <c r="R140" s="11"/>
      <c r="S140" s="11"/>
      <c r="T140" s="11"/>
      <c r="U140" s="11"/>
    </row>
    <row r="141" customFormat="false" ht="14.4" hidden="false" customHeight="false" outlineLevel="0" collapsed="false">
      <c r="B141" s="11"/>
      <c r="C141" s="11"/>
      <c r="D141" s="11"/>
      <c r="E141" s="11"/>
      <c r="F141" s="11"/>
      <c r="G141" s="11"/>
      <c r="H141" s="11"/>
      <c r="I141" s="11"/>
      <c r="J141" s="11"/>
      <c r="K141" s="11"/>
      <c r="L141" s="11"/>
      <c r="M141" s="11"/>
      <c r="N141" s="11"/>
      <c r="O141" s="11"/>
      <c r="P141" s="11"/>
      <c r="Q141" s="11"/>
      <c r="R141" s="11"/>
      <c r="S141" s="11"/>
      <c r="T141" s="11"/>
      <c r="U141" s="11"/>
    </row>
    <row r="142" customFormat="false" ht="14.4" hidden="false" customHeight="false" outlineLevel="0" collapsed="false">
      <c r="B142" s="11"/>
      <c r="C142" s="11"/>
      <c r="D142" s="11"/>
      <c r="E142" s="11"/>
      <c r="F142" s="11"/>
      <c r="G142" s="11"/>
      <c r="H142" s="11"/>
      <c r="I142" s="11"/>
      <c r="J142" s="11"/>
      <c r="K142" s="11"/>
      <c r="L142" s="11"/>
      <c r="M142" s="11"/>
      <c r="N142" s="11"/>
      <c r="O142" s="11"/>
      <c r="P142" s="11"/>
      <c r="Q142" s="11"/>
      <c r="R142" s="11"/>
      <c r="S142" s="11"/>
      <c r="T142" s="11"/>
      <c r="U142" s="11"/>
    </row>
    <row r="143" customFormat="false" ht="14.4" hidden="false" customHeight="false" outlineLevel="0" collapsed="false">
      <c r="B143" s="11"/>
      <c r="C143" s="11"/>
      <c r="D143" s="11"/>
      <c r="E143" s="11"/>
      <c r="F143" s="11"/>
      <c r="G143" s="11"/>
      <c r="H143" s="11"/>
      <c r="I143" s="11"/>
      <c r="J143" s="11"/>
      <c r="K143" s="11"/>
      <c r="L143" s="11"/>
      <c r="M143" s="11"/>
      <c r="N143" s="11"/>
      <c r="O143" s="11"/>
      <c r="P143" s="11"/>
      <c r="Q143" s="11"/>
      <c r="R143" s="11"/>
      <c r="S143" s="11"/>
      <c r="T143" s="11"/>
      <c r="U143" s="11"/>
    </row>
    <row r="144" customFormat="false" ht="14.4" hidden="false" customHeight="false" outlineLevel="0" collapsed="false">
      <c r="B144" s="11"/>
      <c r="C144" s="11"/>
      <c r="D144" s="11"/>
      <c r="E144" s="11"/>
      <c r="F144" s="11"/>
      <c r="G144" s="11"/>
      <c r="H144" s="11"/>
      <c r="I144" s="11"/>
      <c r="J144" s="11"/>
      <c r="K144" s="11"/>
      <c r="L144" s="11"/>
      <c r="M144" s="11"/>
      <c r="N144" s="11"/>
      <c r="O144" s="11"/>
      <c r="P144" s="11"/>
      <c r="Q144" s="11"/>
      <c r="R144" s="11"/>
      <c r="S144" s="11"/>
      <c r="T144" s="11"/>
      <c r="U144" s="11"/>
    </row>
    <row r="145" customFormat="false" ht="14.4" hidden="false" customHeight="false" outlineLevel="0" collapsed="false">
      <c r="B145" s="11"/>
      <c r="C145" s="11"/>
      <c r="D145" s="11"/>
      <c r="E145" s="11"/>
      <c r="F145" s="11"/>
      <c r="G145" s="11"/>
      <c r="H145" s="11"/>
      <c r="I145" s="11"/>
      <c r="J145" s="11"/>
      <c r="K145" s="11"/>
      <c r="L145" s="11"/>
      <c r="M145" s="11"/>
      <c r="N145" s="11"/>
      <c r="O145" s="11"/>
      <c r="P145" s="11"/>
      <c r="Q145" s="11"/>
      <c r="R145" s="11"/>
      <c r="S145" s="11"/>
      <c r="T145" s="11"/>
      <c r="U145" s="11"/>
    </row>
    <row r="146" customFormat="false" ht="14.4" hidden="false" customHeight="false" outlineLevel="0" collapsed="false">
      <c r="B146" s="11"/>
      <c r="C146" s="11"/>
      <c r="D146" s="11"/>
      <c r="E146" s="11"/>
      <c r="F146" s="11"/>
      <c r="G146" s="11"/>
      <c r="H146" s="11"/>
      <c r="I146" s="11"/>
      <c r="J146" s="11"/>
      <c r="K146" s="11"/>
      <c r="L146" s="11"/>
      <c r="M146" s="11"/>
      <c r="N146" s="11"/>
      <c r="O146" s="11"/>
      <c r="P146" s="11"/>
      <c r="Q146" s="11"/>
      <c r="R146" s="11"/>
      <c r="S146" s="11"/>
      <c r="T146" s="11"/>
      <c r="U146" s="11"/>
    </row>
    <row r="147" customFormat="false" ht="14.4" hidden="false" customHeight="false" outlineLevel="0" collapsed="false">
      <c r="B147" s="11"/>
      <c r="C147" s="11"/>
      <c r="D147" s="11"/>
      <c r="E147" s="11"/>
      <c r="F147" s="11"/>
      <c r="G147" s="11"/>
      <c r="H147" s="11"/>
      <c r="I147" s="11"/>
      <c r="J147" s="11"/>
      <c r="K147" s="11"/>
      <c r="L147" s="11"/>
      <c r="M147" s="11"/>
      <c r="N147" s="11"/>
      <c r="O147" s="11"/>
      <c r="P147" s="11"/>
      <c r="Q147" s="11"/>
      <c r="R147" s="11"/>
      <c r="S147" s="11"/>
      <c r="T147" s="11"/>
      <c r="U147" s="11"/>
    </row>
    <row r="148" customFormat="false" ht="14.4" hidden="false" customHeight="false" outlineLevel="0" collapsed="false">
      <c r="B148" s="11"/>
      <c r="C148" s="11"/>
      <c r="D148" s="11"/>
      <c r="E148" s="11"/>
      <c r="F148" s="11"/>
      <c r="G148" s="11"/>
      <c r="H148" s="11"/>
      <c r="I148" s="11"/>
      <c r="J148" s="11"/>
      <c r="K148" s="11"/>
      <c r="L148" s="11"/>
      <c r="M148" s="11"/>
      <c r="N148" s="11"/>
      <c r="O148" s="11"/>
      <c r="P148" s="11"/>
      <c r="Q148" s="11"/>
      <c r="R148" s="11"/>
      <c r="S148" s="11"/>
      <c r="T148" s="11"/>
      <c r="U148" s="11"/>
    </row>
    <row r="149" customFormat="false" ht="14.4" hidden="false" customHeight="false" outlineLevel="0" collapsed="false">
      <c r="B149" s="11"/>
      <c r="C149" s="11"/>
      <c r="D149" s="11"/>
      <c r="E149" s="11"/>
      <c r="F149" s="11"/>
      <c r="G149" s="11"/>
      <c r="H149" s="11"/>
      <c r="I149" s="11"/>
      <c r="J149" s="11"/>
      <c r="K149" s="11"/>
      <c r="L149" s="11"/>
      <c r="M149" s="11"/>
      <c r="N149" s="11"/>
      <c r="O149" s="11"/>
      <c r="P149" s="11"/>
      <c r="Q149" s="11"/>
      <c r="R149" s="11"/>
      <c r="S149" s="11"/>
      <c r="T149" s="11"/>
      <c r="U149" s="11"/>
    </row>
    <row r="150" customFormat="false" ht="14.4" hidden="false" customHeight="false" outlineLevel="0" collapsed="false">
      <c r="B150" s="11"/>
      <c r="C150" s="11"/>
      <c r="D150" s="11"/>
      <c r="E150" s="11"/>
      <c r="F150" s="11"/>
      <c r="G150" s="11"/>
      <c r="H150" s="11"/>
      <c r="I150" s="11"/>
      <c r="J150" s="11"/>
      <c r="K150" s="11"/>
      <c r="L150" s="11"/>
      <c r="M150" s="11"/>
      <c r="N150" s="11"/>
      <c r="O150" s="11"/>
      <c r="P150" s="11"/>
      <c r="Q150" s="11"/>
      <c r="R150" s="11"/>
      <c r="S150" s="11"/>
      <c r="T150" s="11"/>
      <c r="U150" s="11"/>
    </row>
    <row r="151" customFormat="false" ht="14.4" hidden="false" customHeight="false" outlineLevel="0" collapsed="false">
      <c r="B151" s="11"/>
      <c r="C151" s="11"/>
      <c r="D151" s="11"/>
      <c r="E151" s="11"/>
      <c r="F151" s="11"/>
      <c r="G151" s="11"/>
      <c r="H151" s="11"/>
      <c r="I151" s="11"/>
      <c r="J151" s="11"/>
      <c r="K151" s="11"/>
      <c r="L151" s="11"/>
      <c r="M151" s="11"/>
      <c r="N151" s="11"/>
      <c r="O151" s="11"/>
      <c r="P151" s="11"/>
      <c r="Q151" s="11"/>
      <c r="R151" s="11"/>
      <c r="S151" s="11"/>
      <c r="T151" s="11"/>
      <c r="U151" s="11"/>
    </row>
    <row r="152" customFormat="false" ht="14.4" hidden="false" customHeight="false" outlineLevel="0" collapsed="false">
      <c r="B152" s="11"/>
      <c r="C152" s="11"/>
      <c r="D152" s="11"/>
      <c r="E152" s="11"/>
      <c r="F152" s="11"/>
      <c r="G152" s="11"/>
      <c r="H152" s="11"/>
      <c r="I152" s="11"/>
      <c r="J152" s="11"/>
      <c r="K152" s="11"/>
      <c r="L152" s="11"/>
      <c r="M152" s="11"/>
      <c r="N152" s="11"/>
      <c r="O152" s="11"/>
      <c r="P152" s="11"/>
      <c r="Q152" s="11"/>
      <c r="R152" s="11"/>
      <c r="S152" s="11"/>
      <c r="T152" s="11"/>
      <c r="U152" s="11"/>
    </row>
    <row r="153" customFormat="false" ht="14.4" hidden="false" customHeight="false" outlineLevel="0" collapsed="false">
      <c r="B153" s="11"/>
      <c r="C153" s="11"/>
      <c r="D153" s="11"/>
      <c r="E153" s="11"/>
      <c r="F153" s="11"/>
      <c r="G153" s="11"/>
      <c r="H153" s="11"/>
      <c r="I153" s="11"/>
      <c r="J153" s="11"/>
      <c r="K153" s="11"/>
      <c r="L153" s="11"/>
      <c r="M153" s="11"/>
      <c r="N153" s="11"/>
      <c r="O153" s="11"/>
      <c r="P153" s="11"/>
      <c r="Q153" s="11"/>
      <c r="R153" s="11"/>
      <c r="S153" s="11"/>
      <c r="T153" s="11"/>
      <c r="U153" s="11"/>
    </row>
    <row r="154" customFormat="false" ht="14.4" hidden="false" customHeight="false" outlineLevel="0" collapsed="false">
      <c r="B154" s="11"/>
      <c r="C154" s="11"/>
      <c r="D154" s="11"/>
      <c r="E154" s="11"/>
      <c r="F154" s="11"/>
      <c r="G154" s="11"/>
      <c r="H154" s="11"/>
      <c r="I154" s="11"/>
      <c r="J154" s="11"/>
      <c r="K154" s="11"/>
      <c r="L154" s="11"/>
      <c r="M154" s="11"/>
      <c r="N154" s="11"/>
      <c r="O154" s="11"/>
      <c r="P154" s="11"/>
      <c r="Q154" s="11"/>
      <c r="R154" s="11"/>
      <c r="S154" s="11"/>
      <c r="T154" s="11"/>
      <c r="U154" s="11"/>
    </row>
  </sheetData>
  <mergeCells count="32">
    <mergeCell ref="B2:U4"/>
    <mergeCell ref="B5:U6"/>
    <mergeCell ref="B7:C9"/>
    <mergeCell ref="D7:U9"/>
    <mergeCell ref="B10:C13"/>
    <mergeCell ref="D10:U13"/>
    <mergeCell ref="B14:C17"/>
    <mergeCell ref="D14:U17"/>
    <mergeCell ref="B18:C21"/>
    <mergeCell ref="D18:U21"/>
    <mergeCell ref="B22:C25"/>
    <mergeCell ref="D22:U25"/>
    <mergeCell ref="B26:C29"/>
    <mergeCell ref="D26:U29"/>
    <mergeCell ref="B30:C33"/>
    <mergeCell ref="D30:U33"/>
    <mergeCell ref="B34:C37"/>
    <mergeCell ref="D34:U37"/>
    <mergeCell ref="B38:C41"/>
    <mergeCell ref="D38:U41"/>
    <mergeCell ref="B42:C45"/>
    <mergeCell ref="D42:U45"/>
    <mergeCell ref="B46:C49"/>
    <mergeCell ref="D46:U49"/>
    <mergeCell ref="B50:C53"/>
    <mergeCell ref="D50:U53"/>
    <mergeCell ref="B54:C57"/>
    <mergeCell ref="D54:U57"/>
    <mergeCell ref="B58:C61"/>
    <mergeCell ref="D58:U61"/>
    <mergeCell ref="B62:C65"/>
    <mergeCell ref="D62:U65"/>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78"/>
  <sheetViews>
    <sheetView showFormulas="false" showGridLines="true" showRowColHeaders="true" showZeros="true" rightToLeft="false" tabSelected="false" showOutlineSymbols="true" defaultGridColor="true" view="normal" topLeftCell="G1" colorId="64" zoomScale="80" zoomScaleNormal="80" zoomScalePageLayoutView="100" workbookViewId="0">
      <selection pane="topLeft" activeCell="I34" activeCellId="0" sqref="I34"/>
    </sheetView>
  </sheetViews>
  <sheetFormatPr defaultColWidth="8.58984375" defaultRowHeight="14.4" zeroHeight="false" outlineLevelRow="0" outlineLevelCol="0"/>
  <cols>
    <col collapsed="false" customWidth="true" hidden="false" outlineLevel="0" max="1" min="1" style="0" width="9.13"/>
    <col collapsed="false" customWidth="true" hidden="false" outlineLevel="0" max="2" min="2" style="0" width="23.35"/>
    <col collapsed="false" customWidth="true" hidden="false" outlineLevel="0" max="3" min="3" style="0" width="9.33"/>
    <col collapsed="false" customWidth="true" hidden="false" outlineLevel="0" max="4" min="4" style="0" width="19"/>
    <col collapsed="false" customWidth="true" hidden="false" outlineLevel="0" max="5" min="5" style="0" width="13.66"/>
    <col collapsed="false" customWidth="true" hidden="false" outlineLevel="0" max="6" min="6" style="0" width="9.13"/>
    <col collapsed="false" customWidth="true" hidden="false" outlineLevel="0" max="7" min="7" style="0" width="17"/>
    <col collapsed="false" customWidth="true" hidden="false" outlineLevel="0" max="8" min="8" style="0" width="14.55"/>
    <col collapsed="false" customWidth="true" hidden="false" outlineLevel="0" max="9" min="9" style="0" width="9.13"/>
    <col collapsed="false" customWidth="true" hidden="false" outlineLevel="0" max="24" min="10" style="0" width="15.66"/>
  </cols>
  <sheetData>
    <row r="1" customFormat="false" ht="14.4" hidden="false" customHeight="false" outlineLevel="0" collapsed="false">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customFormat="false" ht="14.4" hidden="false" customHeight="false" outlineLevel="0" collapsed="false">
      <c r="A2" s="12"/>
      <c r="B2" s="13" t="s">
        <v>24</v>
      </c>
      <c r="C2" s="13"/>
      <c r="D2" s="13"/>
      <c r="E2" s="13"/>
      <c r="F2" s="12"/>
      <c r="G2" s="14" t="str">
        <f aca="false">IFERROR(INDEX(Base[AR],MATCH(H2,Base[Akashi],0)),"None")</f>
        <v>DD</v>
      </c>
      <c r="H2" s="15" t="s">
        <v>25</v>
      </c>
      <c r="I2" s="12"/>
      <c r="J2" s="16"/>
      <c r="K2" s="16"/>
      <c r="L2" s="16"/>
      <c r="M2" s="16"/>
      <c r="N2" s="16"/>
      <c r="O2" s="16"/>
      <c r="P2" s="16"/>
      <c r="Q2" s="16"/>
      <c r="R2" s="16"/>
      <c r="S2" s="16"/>
      <c r="T2" s="16"/>
      <c r="U2" s="16"/>
      <c r="V2" s="16"/>
      <c r="W2" s="16"/>
      <c r="X2" s="16"/>
      <c r="Y2" s="12"/>
      <c r="Z2" s="12"/>
      <c r="AA2" s="12"/>
      <c r="AB2" s="12"/>
      <c r="AC2" s="12"/>
      <c r="AD2" s="12"/>
      <c r="AE2" s="12"/>
      <c r="AF2" s="12"/>
    </row>
    <row r="3" customFormat="false" ht="14.4" hidden="false" customHeight="false" outlineLevel="0" collapsed="false">
      <c r="A3" s="12"/>
      <c r="B3" s="17" t="s">
        <v>26</v>
      </c>
      <c r="C3" s="18" t="s">
        <v>27</v>
      </c>
      <c r="D3" s="19" t="s">
        <v>28</v>
      </c>
      <c r="E3" s="18" t="s">
        <v>27</v>
      </c>
      <c r="F3" s="12"/>
      <c r="G3" s="20" t="s">
        <v>29</v>
      </c>
      <c r="H3" s="21" t="str">
        <f aca="false">IF(E13="Manual",IF(H10=0,"General",H10),IF(E13="Automatic",IFERROR(INDEX(INDIRECT(INDEX(SType[Type],MATCH(G2,SType[Ship],0))&amp;"Table"&amp;"[Armor Type]"),MATCH(H2,INDIRECT(INDEX(SType[Type],MATCH(G2,SType[Ship],0))&amp;"Table"&amp;"[Name]"))),"None"),IF(E13="Mixed",IF(E8="Manual",IF(H10=0,"General",H10),IFERROR(INDEX(INDIRECT(INDEX(SType[Type],MATCH(G2,SType[Ship],0))&amp;"Table"&amp;"[Armor Type]"),MATCH(H2,INDIRECT(INDEX(SType[Type],MATCH(G2,SType[Ship],0))&amp;"Table"&amp;"[Name]"))),"None")))))</f>
        <v>Light</v>
      </c>
      <c r="I3" s="12"/>
      <c r="J3" s="22"/>
      <c r="K3" s="23" t="s">
        <v>26</v>
      </c>
      <c r="L3" s="24" t="s">
        <v>30</v>
      </c>
      <c r="M3" s="24" t="s">
        <v>31</v>
      </c>
      <c r="N3" s="24" t="s">
        <v>32</v>
      </c>
      <c r="O3" s="24" t="s">
        <v>33</v>
      </c>
      <c r="P3" s="24" t="s">
        <v>34</v>
      </c>
      <c r="Q3" s="24" t="s">
        <v>35</v>
      </c>
      <c r="R3" s="24" t="s">
        <v>36</v>
      </c>
      <c r="S3" s="25" t="s">
        <v>37</v>
      </c>
      <c r="T3" s="25" t="s">
        <v>38</v>
      </c>
      <c r="U3" s="24" t="s">
        <v>39</v>
      </c>
      <c r="V3" s="24" t="s">
        <v>40</v>
      </c>
      <c r="W3" s="24" t="s">
        <v>41</v>
      </c>
      <c r="X3" s="24" t="s">
        <v>42</v>
      </c>
      <c r="Y3" s="12"/>
      <c r="Z3" s="12"/>
      <c r="AA3" s="12"/>
      <c r="AB3" s="12"/>
      <c r="AC3" s="12"/>
      <c r="AD3" s="12"/>
      <c r="AE3" s="12"/>
      <c r="AF3" s="12"/>
    </row>
    <row r="4" customFormat="false" ht="14.4" hidden="false" customHeight="false" outlineLevel="0" collapsed="false">
      <c r="A4" s="12"/>
      <c r="B4" s="17" t="s">
        <v>30</v>
      </c>
      <c r="C4" s="26" t="s">
        <v>27</v>
      </c>
      <c r="D4" s="14" t="s">
        <v>43</v>
      </c>
      <c r="E4" s="18" t="s">
        <v>44</v>
      </c>
      <c r="F4" s="12"/>
      <c r="G4" s="20" t="s">
        <v>45</v>
      </c>
      <c r="H4" s="27" t="n">
        <f aca="false">IF(E13="Manual",H11,IF(E13="Automatic",IFERROR(INDEX(INDIRECT(INDEX(SType[Type],MATCH(G2,SType[Ship],0))&amp;"Table"&amp;"[HP]"),MATCH(H2,INDIRECT(INDEX(SType[Type],MATCH(G2,SType[Ship],0))&amp;"Table"&amp;"[Name]"))),"General"),IF(E13="Mixed",IF(E9="Manual",H11,IFERROR(INDEX(INDIRECT(INDEX(SType[Type],MATCH(G2,SType[Ship],0))&amp;"Table"&amp;"[HP]"),MATCH(H2,INDIRECT(INDEX(SType[Type],MATCH(G2,SType[Ship],0))&amp;"Table"&amp;"[Name]"))),0)))))</f>
        <v>1980</v>
      </c>
      <c r="I4" s="12"/>
      <c r="J4" s="28" t="s">
        <v>26</v>
      </c>
      <c r="K4" s="29" t="n">
        <f aca="false">IF($C$3="On",ROUND(((H4+(H4*C22))/(1-C21)/(1-IF(E21="CV",C24,0))/MIN(MAX((0.1+($E$19/($E$19+(H5*(C20)+2)))+(($E$20-H7+E27)/1000)-(C19)),0.1),1))/H17/H19/H20/(IF(E4="On",1+(1-(1-H22)^((E24*(MIN(MAX((0.1+($E$19/($E$19+(H5*(C20)+2)))+(($E$20-H7+E27)/1000)-(C19)),0.1),1)))*H23))*H24,1)),0),"Calc. Off")</f>
        <v>6295</v>
      </c>
      <c r="L4" s="29" t="n">
        <f aca="false">IF($C$4="On",IF($C$3="On",ROUND(((H4+266+(H4+266)*C22)/(1-C21)/(1-IF(E21="CV",C24,0))/MIN(MAX((0.1+($E$19/($E$19+(H5*(C20)+2)))+(($E$20-H7+E27)/1000)-(C19)),0.1),1))/H17/H19/H20/(IF(E4="On",1+(1-(1-H25)^((E24*(MIN(MAX((0.1+($E$19/($E$19+(H5*(C20)+2)))+(($E$20-H7+E27)/1000)-(C19)),0.1),1)))*H26))*H27,1)),0),"Calc. Off"),"Calc. Off")</f>
        <v>7140</v>
      </c>
      <c r="M4" s="29" t="n">
        <f aca="false">IF($C$5="On",IF($C$3="On",ROUND(((H4+44+(H4+44)*C22)/(1-C21)/(1-IF(E21="CV",C24,0))/MIN(MAX((0.1+($E$19/($E$19+((H5+17)*(C20)+2)))+(($E$20-H7+E27)/1000)-(C19)),0.1),1))/H17/H19/H20/(IF(E4="On",1+(1-(1-H22)^((E24*(MIN(MAX((0.1+($E$19/($E$19+((H5+17)*(C20)+2)))+(($E$20-H7+E27)/1000)-(C19)),0.1),1)))*H23))*H24,1)),0),"Calc. Off"),"Calc. Off")</f>
        <v>6803</v>
      </c>
      <c r="N4" s="29" t="n">
        <f aca="false">IF($C$6="On",IF($C$3="On",ROUND(((H4+100+(H4+100)*C22)/(1-C21)/(1-IF(E21="CV",C24,0))/MIN(MAX((0.1+($E$19/($E$19+((H5+18)*(C20)+2)))+(($E$20-H7+E27)/1000)-(C19)),0.1),1))/H17/H19/H20/(IF(E4="On",1+(1-(1-H22)^((E24*(MIN(MAX((0.1+($E$19/($E$19+((H5+18)*(C20)+2)))+(($E$20-H7+E27)/1000)-(C19)),0.1),1)))*H23))*H24,1)),0),"Calc. Off"),"Calc. Off")</f>
        <v>7013</v>
      </c>
      <c r="O4" s="29" t="n">
        <f aca="false">IF($C$7="On",IF($C$3="On",ROUND(((H4+245+(H4+245)*C22)/(1-C21)/(1-IF(E21="CV",C24,0))/MIN(MAX((0.1+($E$19/($E$19+(H5*(C20)+2)))+(($E$20-H7+E27)/1000)-(C19)),0.1),1))/H17/H19/H20/(IF(E4="On",1+(1-(1-H22)^((E24*(MIN(MAX((0.1+($E$19/($E$19+(H5*(C20)+2)))+(($E$20-H7+E27)/1000)-(C19)),0.1),1)))*H23))*H24,1)),0),"Calc. Off"),"Calc. Off")</f>
        <v>7073</v>
      </c>
      <c r="P4" s="29" t="n">
        <f aca="false">IF($C$8="On",IF($C$3="On",ROUND(((H4+350+(H4+350)*C22)/(1-C21)/(1-IF(E21="CV",C24,0))/MIN(MAX((0.1+($E$19/($E$19+((H5+5)*(C20)+2)))+(($E$20-H7+E27)/1000)-(C19)),0.1),1))/H17/H19/H20/(IF(E4="On",1+(1-(1-H22)^((E24*(MIN(MAX((0.1+($E$19/($E$19+((H5+5)*(C20)+2)))+(($E$20-H7+E27)/1000)-(C19)),0.1),1)))*H23))*H24,1)),0),"Calc. Off"),"Calc. Off")</f>
        <v>7534</v>
      </c>
      <c r="Q4" s="29" t="str">
        <f aca="false">IF($C$9="On",IF($C$3="On",IF(G2="DD","N/A",IF(G2="SS","N/A",IF(G2="SSV","N/A",ROUND(((H4+350+(H4+350)*C22)/(1-C21)/(1-IF(E21="CV",C24,0))/MIN(MAX((0.1+($E$19/($E$19+(H5*(C20)+2)))+(($E$20-H7+E27)/1000)-(C19)),0.1),1))/H17/IF($E$3="On",IF(E22="Torpedo",0.7,1),1)/H19/H20/(IF(E4="On",1+(1-(1-H22)^((E24*(MIN(MAX((0.1+($E$19/($E$19+(H5*(C20)+2)))+(($E$20-H7+E27)/1000)-(C19)),0.1),1)))*H23))*H24,1)),0)))),"Calc. Off"),"Calc. Off")</f>
        <v>N/A</v>
      </c>
      <c r="R4" s="29" t="n">
        <f aca="false">IF($C$10="On",IF($C$3="On",ROUND(((H4+500+(H4+500)*C22+IF($E$3="On",ROUNDDOWN($E$26/15,0)*0.01*(H4+500),0))/(1-C21)/(1-IF(E21="CV",C24,0))/MIN(MAX((0.1+($E$19/($E$19+(H5*(C20)+2)))+(($E$20-H7+E27)/1000)-(C19)),0.1),1))/H17/H19/H20/(IF(E4="On",1+(1-(1-H22)^((E24*(MIN(MAX((0.1+($E$19/($E$19+(H5*(C20)+2)))+(($E$20-H7+E27)/1000)-(C19)),0.1),1)))*H23))*H24,1)),0),"Calc. Off"),"Calc. Off")</f>
        <v>8199</v>
      </c>
      <c r="S4" s="29" t="n">
        <f aca="false">IF($C$3="On",IF(C11="On",IF(G2&lt;&gt;"DD","N/A",ROUND(((H4+550+((H4+550)*C22))/(1-C21)/(1-IF(E21="CV",C24,0))/MIN(MAX((0.1+($E$19/($E$19+(H5*(C20)+2)))+(($E$20-H7+E27)/1000)-(C19)),0.1),1))/H17/H19/H20/(IF(E4="On",1+(1-(1-H22)^((E24*(MIN(MAX((0.1+($E$19/($E$19+(H5*(C20)+2)))+(($E$20-H7+E27)/1000)-(C19)),0.1),1)))*H23))*H24,1)),0)),"Calc. Off"),"Calc. Off")</f>
        <v>8043</v>
      </c>
      <c r="T4" s="29" t="str">
        <f aca="false">IF($C$3="On",IF($C$12="On",IF(G2="DD","N/A",IF(G2="CL","N/A",IF(G2="CA","N/A",IF(G2="BM","N/A",IF(G2="CVL","N/A",IF(G2="AR","N/A",IF(G2="SS","N/A",IF(G2="SSV","N/A",ROUND(((H4+650+(H4+650)*C22)/(1-C21)/(1-IF(E21="CV",C24,0))/MIN(MAX((0.1+($E$19/($E$19+(H5*(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4" s="29" t="n">
        <f aca="false">IF($C$13="On",IF($C$3="On",ROUND(((H4+H4*C22)/(1-C21)/(1-IF(E21="CV",C24,0))/MIN(MAX((0.1+($E$19/($E$19+((H5+15)*(C20)+2)))+(($E$20-H7+E27)/1000)-(C19)),0.1),1))/H17/H19/H20/(IF(E4="On",1+(1-(1-H22)^((E24*(MIN(MAX((0.1+($E$19/($E$19+((H5+15)*(C20)+2)))+(($E$20-H7+E27)/1000)-(C19)),0.1),1)))*H23))*H24,1)),0),"Calc. Off"),"Calc. Off")</f>
        <v>6613</v>
      </c>
      <c r="V4" s="29" t="n">
        <f aca="false">IF($C$14="On",IF($C$3="On",ROUND(((H4+H4*C22)/(1-C21)/(1-IF(E21="CV",C24,0))/MIN(MAX((0.1+($E$19/($E$19+((H5+28)*(C20)+2)))+(($E$20-H7+E27)/1000)-(C19)),0.1),1))/H17/H19/H20/(IF(E4="On",1+(1-(1-H22)^((E24*(MIN(MAX((0.1+($E$19/($E$19+((H5+28)*(C20)+2)))+(($E$20-H7+E27)/1000)-(C19)),0.1),1)))*H23))*H24,1)),0),"Calc. Off"),"Calc. Off")</f>
        <v>6881</v>
      </c>
      <c r="W4" s="29" t="n">
        <f aca="false">IF($C$15="On",IF($C$3="On",ROUND(((H4+75+(H4+75)*C22)/(1-C21)/(1-IF(E21="CV",C24,0))/MIN(MAX((0.1+($E$19/($E$19+((H5+35)*(C20)+2)))+(($E$20-H7+E27)/1000)-(C19)),0.1),1))/H17/H19/H20/(IF(E4="On",1+(1-(1-H22)^((E24*(MIN(MAX((0.1+($E$19/($E$19+((H5+35)*(C20)+2)))+(($E$20-H7+E27)/1000)-(C19)),0.1),1)))*H23))*H24,1)),0),"Calc. Off"),"Calc. Off")</f>
        <v>7287</v>
      </c>
      <c r="X4" s="29" t="n">
        <f aca="false">IF($C$16="On",IF($C$3="On",ROUND((((H4+60+(H4+60)*C22)/(1-C21)/(1-IF(E21="CV",C24,0))/MIN(MAX((0.1+($E$19/($E$19+((H5+40)*(C20)+2)))+(($E$20-H7+E27)/1000)-(C19)),0.1),1))/H17)/IF($E$3="On",0.97,1)/H19/H20/(IF(E4="On",1+(1-(1-H22)^((E24*(MIN(MAX((0.1+($E$19/($E$19+((H5+40)*(C20)+2)))+(($E$20-H7+E27)/1000)-(C19)),0.1),1)))*H23))*H24,1)),0),"Calc. Off"),"Calc. Off")</f>
        <v>7563</v>
      </c>
      <c r="Y4" s="12"/>
      <c r="Z4" s="12"/>
      <c r="AA4" s="12"/>
      <c r="AB4" s="12"/>
      <c r="AC4" s="12"/>
      <c r="AD4" s="12"/>
      <c r="AE4" s="12"/>
      <c r="AF4" s="12"/>
    </row>
    <row r="5" customFormat="false" ht="14.4" hidden="false" customHeight="false" outlineLevel="0" collapsed="false">
      <c r="A5" s="12"/>
      <c r="B5" s="17" t="s">
        <v>31</v>
      </c>
      <c r="C5" s="26" t="s">
        <v>27</v>
      </c>
      <c r="D5" s="30"/>
      <c r="E5" s="31"/>
      <c r="F5" s="12"/>
      <c r="G5" s="20" t="s">
        <v>46</v>
      </c>
      <c r="H5" s="32" t="n">
        <f aca="false">IF(E13="Manual",H12,IF(E13="Automatic",IFERROR(INDEX(INDIRECT(INDEX(SType[Type],MATCH(G2,SType[Ship],0))&amp;"Table"&amp;"[EVA]"),MATCH(H2,INDIRECT(INDEX(SType[Type],MATCH(G2,SType[Ship],0))&amp;"Table"&amp;"[Name]"))),"General"),IF(E13="Mixed",IF(E10="Manual",H12,IFERROR(INDEX(INDIRECT(INDEX(SType[Type],MATCH(G2,SType[Ship],0))&amp;"Table"&amp;"[EVA]"),MATCH(H2,INDIRECT(INDEX(SType[Type],MATCH(G2,SType[Ship],0))&amp;"Table"&amp;"[Name]"))),0)))))</f>
        <v>163</v>
      </c>
      <c r="I5" s="12"/>
      <c r="J5" s="33" t="s">
        <v>30</v>
      </c>
      <c r="K5" s="29" t="n">
        <f aca="false">IF($C$3="On",IF($C$4="On",ROUND((((H4+266)+(H4+266)*C22)/(1-C21)/(1-IF(E21="CV",C24,0))/MIN(MAX((0.1+($E$19/($E$19+(H5*(C20)+2)))+(($E$20-H7+E27)/1000)-(C19)),0.1),1))/H17/H19/H20/(IF(E4="On",1+(1-(1-H25)^((E24*(MIN(MAX((0.1+($E$19/($E$19+(H5*(C20)+2)))+(($E$20-H7+E27)/1000)-(C19)),0.1),1)))*H26))*H27,1)),0),"Calc. Off"),"Calc. Off")</f>
        <v>7140</v>
      </c>
      <c r="L5" s="29" t="n">
        <f aca="false">IF($C$4="On",ROUND(((H4+266+266+(H4+266+266)*C22)/(1-C21)/(1-IF(E21="CV",C24,0))/MIN(MAX((0.1+($E$19/($E$19+(H5*(C20)+2)))+(($E$20-H7+E27)/1000)-(C19)),0.1),1))/H17/H19/H20/(IF(E4="On",1+(1-(1-H25)^((E24*(MIN(MAX((0.1+($E$19/($E$19+(H5*(C20)+2)))+(($E$20-H7+E27)/1000)-(C19)),0.1),1)))*H26))*H27,1)),0),"Calc. Off")</f>
        <v>7986</v>
      </c>
      <c r="M5" s="29" t="n">
        <f aca="false">IF($C$5="On",IF($C$4="On",ROUND(((H4+266+44+(H4+266+44)*C22)/(1-C21)/(1-IF(E21="CV",C24,0))/MIN(MAX((0.1+($E$19/($E$19+((H5+17)*(C20)+2)))+(($E$20-H7+E27)/1000)-(C19)),0.1),1))/H17/H19/H20/(IF(E4="On",1+(1-(1-H25)^((E24*(MIN(MAX((0.1+($E$19/($E$19+((H5+17)*(C20)+2)))+(($E$20-H7+E27)/1000)-(C19)),0.1),1)))*H26))*H27,1)),0),"Calc. Off"),"Calc. Off")</f>
        <v>7697</v>
      </c>
      <c r="N5" s="29" t="n">
        <f aca="false">IF($C$6="On",IF($C$4="On",ROUND(((H4+266+100+(H4+266+100)*C22)/(1-C21)/(1-IF(E21="CV",C24,0))/MIN(MAX((0.1+($E$19/($E$19+((H5+18)*(C20)+2)))+(($E$20-H7+E27)/1000)-(C19)),0.1),1))/H17/H19/H20/(IF(E4="On",1+(1-(1-H25)^((E24*(MIN(MAX((0.1+($E$19/($E$19+((H5+18)*(C20)+2)))+(($E$20-H7+E27)/1000)-(C19)),0.1),1)))*H26))*H27,1)),0),"Calc. Off"),"Calc. Off")</f>
        <v>7910</v>
      </c>
      <c r="O5" s="29" t="n">
        <f aca="false">IF($C$7="On",IF($C$4="On",ROUND(((H4+266+245+(H4+266+245)*C22)/(1-C21)/(1-IF(E21="CV",C24,0))/MIN(MAX((0.1+($E$19/($E$19+(H5*(C20)+2)))+(($E$20-H7+E27)/1000)-(C19)),0.1),1))/H17/H19/H20/(IF(E4="On",1+(1-(1-H25)^((E24*(MIN(MAX((0.1+($E$19/($E$19+(H5*(C20)+2)))+(($E$20-H7+E27)/1000)-(C19)),0.1),1)))*H26))*H27,1)),0),"Calc. Off"),"Calc. Off")</f>
        <v>7919</v>
      </c>
      <c r="P5" s="29" t="n">
        <f aca="false">IF($C$8="On",IF($C$4="On",ROUND(((H4+266+350+(H4+266+350)*C22)/(1-C21)/(1-IF(E21="CV",C24,0))/MIN(MAX((0.1+($E$19/($E$19+((H5+5)*(C20)+2)))+(($E$20-H7+E27)/1000)-(C19)),0.1),1))/H17/H19/H20/(IF(E4="On",1+(1-(1-H25)^((E24*(MIN(MAX((0.1+($E$19/($E$19+((H5+5)*(C20)+2)))+(($E$20-H7+E27)/1000)-(C19)),0.1),1)))*H26))*H27,1)),0),"Calc. Off"),"Calc. Off")</f>
        <v>8394</v>
      </c>
      <c r="Q5" s="29" t="str">
        <f aca="false">IF($C$9="On",IF($C$4="On",IF(G2="DD","N/A",IF(G2="SS","N/A",IF(G2="SSV","N/A",ROUND(((H4+266+350+(H4+266+350)*C22)/(1-C21)/(1-IF(E21="CV",C24,0))/MIN(MAX((0.1+($E$19/($E$19+(H5*(C20)+2)))+(($E$20-H7+E27)/1000)-(C19)),0.1),1))/H17/IF($E$3="On",IF(E22="Torpedo",0.7,1),1)/H19/H20/(IF(E4="On",1+(1-(1-H25)^((E24*(MIN(MAX((0.1+($E$19/($E$19+(H5*(C20)+2)))+(($E$20-H7+E27)/1000)-(C19)),0.1),1)))*H26))*H27,1)),0)))),"Calc. Off"),"Calc. Off")</f>
        <v>N/A</v>
      </c>
      <c r="R5" s="29" t="n">
        <f aca="false">IF($C$10="On",IF($C$4="On",ROUND(((H4+266+500+(H4+266+500)*C22+IF($E$3="On",ROUNDDOWN($E$26/15,0)*0.01*(H4+266+500),0))/(1-C21)/(1-IF(E21="CV",C24,0))/MIN(MAX((0.1+($E$19/($E$19+(H5*(C20)+2)))+(($E$20-H7+E27)/1000)-(C19)),0.1),1))/H17/H19/H20/(IF(E4="On",1+(1-(1-H25)^((E24*(MIN(MAX((0.1+($E$19/($E$19+(H5*(C20)+2)))+(($E$20-H7+E27)/1000)-(C19)),0.1),1)))*H26))*H27,1)),0),"Calc. Off"),"Calc. Off")</f>
        <v>9079</v>
      </c>
      <c r="S5" s="29" t="n">
        <f aca="false">IF($C$4="On",IF(C11="On",IF(G2&lt;&gt;"DD","N/A",ROUND(((H4+550+266+((H4+550+266)*C22))/(1-C21)/(1-IF(E21="CV",C24,0))/MIN(MAX((0.1+($E$19/($E$19+(H5*(C20)+2)))+(($E$20-H7+E27)/1000)-(C19)),0.1),1))/H17/H19/H20/(IF(E4="On",1+(1-(1-H25)^((E24*(MIN(MAX((0.1+($E$19/($E$19+(H5*(C20)+2)))+(($E$20-H7+E27)/1000)-(C19)),0.1),1)))*H26))*H27,1)),0)),"Calc. Off"),"Calc. Off")</f>
        <v>8889</v>
      </c>
      <c r="T5" s="29" t="str">
        <f aca="false">IF($C$4="On",IF($C$12="On",IF(G2="DD","N/A",IF(G2="CL","N/A",IF(G2="CA","N/A",IF(G2="BM","N/A",IF(G2="CVL","N/A",IF(G2="AR","N/A",IF(G2="SS","N/A",IF(G2="SSV","N/A",ROUND(((H4+266+650+(H4+650+266)*C22)/(1-C21)/(1-IF(E21="CV",C24,0))/MIN(MAX((0.1+($E$19/($E$19+(H5*(C20)+2)))+(($E$20-H7+E27)/1000)-(C19)),0.1),1))/IF(E3="On",H18,H17)/H19/H20/IF(E3="On",IF(H3="Heavy",IFERROR(IF(INDEX(AmmoBase[Base],MATCH(E22,AmmoBase[Type],0))="AP",0.94,IF(OR(INDEX(AmmoBase[Base],MATCH(E22,AmmoBase[Type],0))="HE",INDEX(AmmoBase[Base],MATCH(E22,AmmoBase[Type],0))="Normal"),0.97,1)),1),1),1)/(IF(E4="On",1+(1-(1-H25)^((E24*(MIN(MAX((0.1+($E$19/($E$19+(H5*(C20)+2)))+(($E$20-H7+E27)/1000)-(C19)),0.1),1)))*H26))*H27,1)),0))))))))),"Calc. Off"),"Calc. Off")</f>
        <v>N/A</v>
      </c>
      <c r="U5" s="29" t="n">
        <f aca="false">IF($C$13="On",IF($C$4="On",ROUND(((H4+266+(H4+266)*C22)/(1-C21)/(1-IF(E21="CV",C24,0))/MIN(MAX((0.1+($E$19/($E$19+((H5+15)*(C20)+2)))+(($E$20-H7+E27)/1000)-(C19)),0.1),1))/H17/H19/H20/(IF(E4="On",1+(1-(1-H25)^((E24*(MIN(MAX((0.1+($E$19/($E$19+((H5+15)*(C20)+2)))+(($E$20-H7+E27)/1000)-(C19)),0.1),1)))*H26))*H27,1)),0),"Calc. Off"),"Calc. Off")</f>
        <v>7502</v>
      </c>
      <c r="V5" s="29" t="n">
        <f aca="false">IF($C$14="On",IF($C$4="On",ROUND(((H4+266+(H4+266)*C22)/(1-C21)/(1-IF(E21="CV",C24,0))/MIN(MAX((0.1+($E$19/($E$19+((H5+28)*(C20)+2)))+(($E$20-H7+E27)/1000)-(C19)),0.1),1))/H17/H19/H20/(IF(E4="On",1+(1-(1-H25)^((E24*(MIN(MAX((0.1+($E$19/($E$19+((H5+28)*(C20)+2)))+(($E$20-H7+E27)/1000)-(C19)),0.1),1)))*H26))*H27,1)),0),"Calc. Off"),"Calc. Off")</f>
        <v>7805</v>
      </c>
      <c r="W5" s="29" t="n">
        <f aca="false">IF($C$15="On",IF($C$4="On",ROUND(((H4+266+75+(H4+266+75)*C22)/(1-C21)/(1-IF(E21="CV",C24,0))/MIN(MAX((0.1+($E$19/($E$19+((H5+35)*(C20)+2)))+(($E$20-H7+E27)/1000)-(C19)),0.1),1))/H17/H19/H20/(IF(E4="On",1+(1-(1-H25)^((E24*(MIN(MAX((0.1+($E$19/($E$19+((H5+35)*(C20)+2)))+(($E$20-H7+E27)/1000)-(C19)),0.1),1)))*H26))*H27,1)),0),"Calc. Off"),"Calc. Off")</f>
        <v>8230</v>
      </c>
      <c r="X5" s="29" t="n">
        <f aca="false">IF($C$16="On",IF($C$4="On",ROUND((((H4+266+60+(H4+266+60)*C22)/(1-C21)/(1-IF(E21="CV",C24,0))/MIN(MAX((0.1+($E$19/($E$19+((H5+40)*(C20)+2)))+(($E$20-H7+E27)/1000)-(C19)),0.1),1))/H17)/IF($E$3="On",0.97,1)/H19/H20/(IF(E4="On",1+(1-(1-H25)^((E24*(MIN(MAX((0.1+($E$19/($E$19+((H5+40)*(C20)+2)))+(($E$20-H7+E27)/1000)-(C19)),0.1),1)))*H26))*H27,1)),0),"Calc. Off"),"Calc. Off")</f>
        <v>8549</v>
      </c>
      <c r="Y5" s="12"/>
      <c r="Z5" s="12"/>
      <c r="AA5" s="12"/>
      <c r="AB5" s="12"/>
      <c r="AC5" s="12"/>
      <c r="AD5" s="12"/>
      <c r="AE5" s="12"/>
      <c r="AF5" s="12"/>
    </row>
    <row r="6" customFormat="false" ht="14.4" hidden="false" customHeight="false" outlineLevel="0" collapsed="false">
      <c r="A6" s="12"/>
      <c r="B6" s="17" t="s">
        <v>47</v>
      </c>
      <c r="C6" s="26" t="s">
        <v>27</v>
      </c>
      <c r="D6" s="14" t="s">
        <v>48</v>
      </c>
      <c r="E6" s="18" t="s">
        <v>49</v>
      </c>
      <c r="F6" s="12"/>
      <c r="G6" s="20" t="s">
        <v>50</v>
      </c>
      <c r="H6" s="32" t="n">
        <f aca="false">IF(E13="Manual",H13,IF(E13="Automatic",IFERROR(INDEX(INDIRECT(INDEX(SType[Type],MATCH(G2,SType[Ship],0))&amp;"Table"&amp;"[AA]"),MATCH(H2,INDIRECT(INDEX(SType[Type],MATCH(G2,SType[Ship],0))&amp;"Table"&amp;"[Name]"))),"General"),IF(E13="Mixed",IF(E11="Manual",H13,IFERROR(INDEX(INDIRECT(INDEX(SType[Type],MATCH(G2,SType[Ship],0))&amp;"Table"&amp;"[AA]"),MATCH(H2,INDIRECT(INDEX(SType[Type],MATCH(G2,SType[Ship],0))&amp;"Table"&amp;"[Name]"))),0)))))</f>
        <v>176</v>
      </c>
      <c r="I6" s="12"/>
      <c r="J6" s="33" t="s">
        <v>31</v>
      </c>
      <c r="K6" s="29" t="n">
        <f aca="false">IF($C$5="On",IF($C$3="On",ROUND(((H4+44+(H4+44)*C22)/(1-C21)/(1-IF(E21="CV",C24,0))/MIN(MAX((0.1+($E$19/($E$19+((H5+17)*(C20)+2)))+(($E$20-H7+E27)/1000)-(C19)),0.1),1))/H17/H19/H20/(IF(E4="On",1+(1-(1-H22)^((E24*(MIN(MAX((0.1+($E$19/($E$19+((H5+17)*(C20)+2)))+(($E$20-H7+E27)/1000)-(C19)),0.1),1)))*H23))*H24,1)),0),"Calc. Off"),"Calc. Off")</f>
        <v>6803</v>
      </c>
      <c r="L6" s="29" t="n">
        <f aca="false">IF($C$5="On",IF($C$4="On",ROUND(((H4+266+44+(H4+266+44)*C22)/(1-C21)/(1-IF(E21="CV",C24,0))/MIN(MAX((0.1+($E$19/($E$19+((H5+17)*(C20)+2)))+(($E$20-H7+E27)/1000)-(C19)),0.1),1))/H17/H19/H20/(IF(E4="On",1+(1-(1-H25)^((E24*(MIN(MAX((0.1+($E$19/($E$19+((H5+17)*(C20)+2)))+(($E$20-H7+E27)/1000)-(C19)),0.1),1)))*H26))*H27,1)),0),"Calc. Off"),"Calc. Off")</f>
        <v>7697</v>
      </c>
      <c r="M6" s="29" t="n">
        <f aca="false">IF($C$5="On",ROUND(((H4+44+44+(H4+44+44)*C22)/(1-C21)/(1-IF(E21="CV",C24,0))/MIN(MAX((0.1+($E$19/($E$19+((H5+17+17)*(C20)+2)))+(($E$20-H7+E27)/1000)-(C19)),0.1),1))/H17/H19/H20/(IF(E4="On",1+(1-(1-H22)^((E24*(MIN(MAX((0.1+($E$19/($E$19+((H5+17+17)*(C20)+2)))+(($E$20-H7+E27)/1000)-(C19)),0.1),1)))*H23))*H24,1)),0),"Calc. Off")</f>
        <v>7313</v>
      </c>
      <c r="N6" s="29" t="n">
        <f aca="false">IF($C$5="On",IF($C$6="On",ROUND(((H4+44+100+(H4+44+100)*C22)/(1-C21)/(1-IF(E21="CV",C24,0))/MIN(MAX((0.1+($E$19/($E$19+((H5+17+18)*(C20)+2)))+(($E$20-H7+E27)/1000)-(C19)),0.1),1))/H17/H19/H20/(IF(E4="On",1+(1-(1-H22)^((E24*(MIN(MAX((0.1+($E$19/($E$19+((H5+17+18)*(C20)+2)))+(($E$20-H7+E27)/1000)-(C19)),0.1),1)))*H23))*H24,1)),0),"Calc. Off"),"Calc. Off")</f>
        <v>7532</v>
      </c>
      <c r="O6" s="29" t="n">
        <f aca="false">IF($C$5="On",IF($C$7="On",ROUND(((H4+44+245+(H4+44+245)*C22)/(1-C21)/(1-IF(E21="CV",C24,0))/MIN(MAX((0.1+($E$19/($E$19+((H5+17)*(C20)+2)))+(($E$20-H7+E27)/1000)-(C19)),0.1),1))/H17/H19/H20/(IF(E4="On",1+(1-(1-H22)^((E24*(MIN(MAX((0.1+($E$19/($E$19+((H5+17)*(C20)+2)))+(($E$20-H7+E27)/1000)-(C19)),0.1),1)))*H23))*H24,1)),0),"Calc. Off"),"Calc. Off")</f>
        <v>7626</v>
      </c>
      <c r="P6" s="29" t="n">
        <f aca="false">IF($C$5="On",IF($C$8="On",ROUND(((H4+44+350+(H4+44+350)*C22)/(1-C21)/(1-IF(E21="CV",C24,0))/MIN(MAX((0.1+($E$19/($E$19+((H5+17+5)*(C20)+2)))+(($E$20-H7+E27)/1000)-(C19)),0.1),1))/H17/H19/H20/(IF(E4="On",1+(1-(1-H22)^((E24*(MIN(MAX((0.1+($E$19/($E$19+((H5+17+5)*(C20)+2)))+(($E$20-H7+E27)/1000)-(C19)),0.1),1)))*H23))*H24,1)),0),"Calc. Off"),"Calc. Off")</f>
        <v>8103</v>
      </c>
      <c r="Q6" s="29" t="str">
        <f aca="false">IF($C$5="On",IF($C$9="On",IF(G2="DD","N/A",IF(G2="SS","N/A",IF(G2="SSV","N/A",ROUND(((H4+44+350+(H4+350+44)*C22)/(1-C21)/(1-IF(E21="CV",C24,0))/MIN(MAX((0.1+($E$19/($E$19+((H5+17)*(C20)+2)))+(($E$20-H7+E27)/1000)-C19),0.1),1))/H17/IF($E$3="On",IF(E22="Torpedo",0.7,1),1)/H19/H20/(IF(E4="On",1+(1-(1-H22)^((E24*(MIN(MAX((0.1+($E$19/($E$19+((H5+17)*(C20)+2)))+(($E$20-H7+E27)/1000)-(C19)),0.1),1)))*H23))*H24,1)),0)))),"Calc. Off"),"Calc. Off")</f>
        <v>N/A</v>
      </c>
      <c r="R6" s="29" t="n">
        <f aca="false">IF($C$5="On",IF($C$10="On",ROUND(((H4+44+500+(H4+500+44)*C22+IF($E$3="On",ROUNDDOWN($E$26/15,0)*0.01*(H4+44+500),0))/(1-C21)/(1-IF(E21="CV",C24,0))/MIN(MAX((0.1+($E$19/($E$19+((H5+17)*(C20)+2)))+(($E$20-H7+E27)/1000)-C19),0.1),1))/H17/H19/H20/(IF(E4="On",1+(1-(1-H22)^((E24*(MIN(MAX((0.1+($E$19/($E$19+((H5+17)*(C20)+2)))+(($E$20-H7+E27)/1000)-(C19)),0.1),1)))*H23))*H24,1)),0),"Calc. Off"),"Calc. Off")</f>
        <v>8823</v>
      </c>
      <c r="S6" s="29" t="n">
        <f aca="false">IF($C$5="On",IF(C11="On",IF(G2&lt;&gt;"DD","N/A",ROUND(((H4+44+550+((H4+44+550)*C22))/(1-C21)/(1-IF(E21="CV",C24,0))/MIN(MAX((0.1+($E$19/($E$19+((H5+17)*(C20)+2)))+(($E$20-H7+E27)/1000)-(C19)),0.1),1))/H17/H19/H20/(IF(E4="On",1+(1-(1-H22)^((E24*(MIN(MAX((0.1+($E$19/($E$19+((H5+17)*(C20)+2)))+(($E$20-H7+E27)/1000)-(C19)),0.1),1)))*H23))*H24,1)),0)),"Calc. Off"),"Calc. Off")</f>
        <v>8652</v>
      </c>
      <c r="T6" s="29" t="str">
        <f aca="false">IF($C$5="On",IF($C$12="On",IF(G2="DD","N/A",IF(G2="CL","N/A",IF(G2="CA","N/A",IF(G2="BM","N/A",IF(G2="CVL","N/A",IF(G2="AR","N/A",IF(G2="SS","N/A",IF(G2="SSV","N/A",ROUND(((H4+44+650+(H4+650+44)*C22)/(1-C21)/(1-IF(E21="CV",C24,0))/MIN(MAX((0.1+($E$19/($E$19+((H5+17)*(C20)+2)))+(($E$20-H7+E27)/1000)-C19),0.1),1))/IF(E3="On",H18,H17)/H19/H20/IF(E3="On",IF(H3="Heavy",IFERROR(IF(INDEX(AmmoBase[Base],MATCH(E22,AmmoBase[Type],0))="AP",0.94,IF(OR(INDEX(AmmoBase[Base],MATCH(E22,AmmoBase[Type],0))="HE",INDEX(AmmoBase[Base],MATCH(E22,AmmoBase[Type],0))="Normal"),0.97,1)),1),1),1)/(IF(E4="On",1+(1-(1-H22)^((E24*(MIN(MAX((0.1+($E$19/($E$19+((H5+17)*(C20)+2)))+(($E$20-H7+E27)/1000)-(C19)),0.1),1)))*H23))*H24,1)),0))))))))),"Calc. Off"),"Calc. Off")</f>
        <v>N/A</v>
      </c>
      <c r="U6" s="29" t="n">
        <f aca="false">IF($C$5="On",IF($C$13="On",ROUND(((H4+44+(H4+44)*C22)/(1-C21)/(1-IF(E21="CV",C24,0))/MIN(MAX((0.1+($E$19/($E$19+((H5+17+15)*(C20)+2)))+(($E$20-H7+E27)/1000)-C19),0.1),1))/H17/H19/H20/(IF(E4="On",1+(1-(1-H22)^((E24*(MIN(MAX((0.1+($E$19/($E$19+((H5+17+15)*(C20)+2)))+(($E$20-H7+E27)/1000)-(C19)),0.1),1)))*H23))*H24,1)),0),"Calc. Off"),"Calc. Off")</f>
        <v>7116</v>
      </c>
      <c r="V6" s="29" t="n">
        <f aca="false">IF($C$5="On",IF($C$14="On",ROUND(((H4+44+(H4+44)*C22)/(1-C21)/(1-IF(E21="CV",C24,0))/MIN(MAX((0.1+($E$19/($E$19+((H5+17+28)*(C20)+2)))+(($E$20-H7+E27)/1000)-C19),0.1),1))/H17/H19/H20/(IF(E4="On",1+(1-(1-H22)^((E24*(MIN(MAX((0.1+($E$19/($E$19+((H5+17+28)*(C20)+2)))+(($E$20-H7+E27)/1000)-(C19)),0.1),1)))*H23))*H24,1)),0),"Calc. Off"),"Calc. Off")</f>
        <v>7379</v>
      </c>
      <c r="W6" s="29" t="n">
        <f aca="false">IF($C$5="On",IF($C$15="On",ROUND(((H4+44+75+(H4+75+44)*C22)/(1-C21)/(1-IF(E21="CV",C24,0))/MIN(MAX((0.1+($E$19/($E$19+((H5+17+35)*(C20)+2)))+(($E$20-H7+E27)/1000)-C19),0.1),1))/H17/H19/H20/(IF(E4="On",1+(1-(1-H22)^((E24*(MIN(MAX((0.1+($E$19/($E$19+((H5+17+35)*(C20)+2)))+(($E$20-H7+E27)/1000)-(C19)),0.1),1)))*H23))*H24,1)),0),"Calc. Off"),"Calc. Off")</f>
        <v>7795</v>
      </c>
      <c r="X6" s="29" t="n">
        <f aca="false">IF($C$5="On",IF($C$16="On",ROUND((((H4+44+60+(H4+60+44)*C22)/(1-C21)/(1-IF(E21="CV",C24,0))/MIN(MAX((0.1+($E$19/($E$19+((H5+17+40)*(C20)+2)))+(($E$20-H7+E27)/1000)-C19),0.1),1))/H17)/IF($E$3="On",0.97,1)/H19/H20/(IF(E4="On",1+(1-(1-H22)^((E24*(MIN(MAX((0.1+($E$19/($E$19+((H5+17+40)*(C20)+2)))+(($E$20-H7+E27)/1000)-(C19)),0.1),1)))*H23))*H24,1)),0),"Calc. Off"),"Calc. Off")</f>
        <v>8082</v>
      </c>
      <c r="Y6" s="12"/>
      <c r="Z6" s="12"/>
      <c r="AA6" s="12"/>
      <c r="AB6" s="12"/>
      <c r="AC6" s="12"/>
      <c r="AD6" s="12"/>
      <c r="AE6" s="12"/>
      <c r="AF6" s="12"/>
    </row>
    <row r="7" customFormat="false" ht="14.4" hidden="false" customHeight="false" outlineLevel="0" collapsed="false">
      <c r="A7" s="12"/>
      <c r="B7" s="17" t="s">
        <v>33</v>
      </c>
      <c r="C7" s="26" t="s">
        <v>27</v>
      </c>
      <c r="D7" s="14" t="s">
        <v>51</v>
      </c>
      <c r="E7" s="18" t="s">
        <v>49</v>
      </c>
      <c r="F7" s="12"/>
      <c r="G7" s="20" t="s">
        <v>52</v>
      </c>
      <c r="H7" s="27" t="n">
        <f aca="false">IF(E13="Manual",H14,IF(E13="Automatic",IFERROR(INDEX(INDIRECT(INDEX(SType[Type],MATCH(G2,SType[Ship],0))&amp;"Table"&amp;"[Luck]"),MATCH(H2,INDIRECT(INDEX(SType[Type],MATCH(G2,SType[Ship],0))&amp;"Table"&amp;"[Name]"))),"General"),IF(E13="Mixed",IF(E12="Manual",H14,IFERROR(INDEX(INDIRECT(INDEX(SType[Type],MATCH(G2,SType[Ship],0))&amp;"Table"&amp;"[Luck]"),MATCH(H2,INDIRECT(INDEX(SType[Type],MATCH(G2,SType[Ship],0))&amp;"Table"&amp;"[Name]"))),0)))))</f>
        <v>18</v>
      </c>
      <c r="I7" s="12"/>
      <c r="J7" s="33" t="s">
        <v>47</v>
      </c>
      <c r="K7" s="29" t="n">
        <f aca="false">IF($C$6="On",IF($C$3="On",ROUND(((H4+100+(H4+100)*C22)/(1-C21)/(1-IF(E21="CV",C24,0))/MIN(MAX((0.1+($E$19/($E$19+((H5+18)*(C20)+2)))+(($E$20-H7+E27)/1000)-(C19)),0.1),1))/H17/H19/H20/(IF(E4="On",1+(1-(1-H22)^((E24*(MIN(MAX((0.1+($E$19/($E$19+((H5+18)*(C20)+2)))+(($E$20-H7+E27)/1000)-(C19)),0.1),1)))*H23))*H24,1)),0),"Calc. Off"),"Calc. Off")</f>
        <v>7013</v>
      </c>
      <c r="L7" s="29" t="n">
        <f aca="false">IF($C$6="On",IF($C$4="On",ROUND(((H4+266+100+(H4+266+100)*C22)/(1-C21)/(1-IF(E21="CV",C24,0))/MIN(MAX((0.1+($E$19/($E$19+((H5+18)*(C20)+2)))+(($E$20-H7+E27)/1000)-(C19)),0.1),1))/H17/H19/H20/(IF(E4="On",1+(1-(1-H25)^((E24*(MIN(MAX((0.1+($E$19/($E$19+((H5+18)*(C20)+2)))+(($E$20-H7+E27)/1000)-(C19)),0.1),1)))*H26))*H27,1)),0),"Calc. Off"),"Calc. Off")</f>
        <v>7910</v>
      </c>
      <c r="M7" s="29" t="n">
        <f aca="false">IF($C$5="On",IF($C$6="On",ROUND(((H4+44+100+(H4+44+100)*C22)/(1-C21)/(1-IF(E21="CV",C24,0))/MIN(MAX((0.1+($E$19/($E$19+((H5+17+18)*(C20)+2)))+(($E$20-H7+E27)/1000)-(C19)),0.1),1))/H17/H19/H20/(IF(E4="On",1+(1-(1-H22)^((E24*(MIN(MAX((0.1+($E$19/($E$19+((H5+17+18)*(C20)+2)))+(($E$20-H7+E27)/1000)-(C19)),0.1),1)))*H23))*H24,1)),0),"Calc. Off"),"Calc. Off")</f>
        <v>7532</v>
      </c>
      <c r="N7" s="29" t="n">
        <f aca="false">IF($C$6="On",ROUND(((H4+100+100+(H4+100+100)*C22)/(1-C21)/(1-IF(E21="CV",C24,0))/MIN(MAX((0.1+($E$19/($E$19+((H5+18+18)*(C20)+2)))+(($E$20-H7+E27)/1000)-(C19)),0.1),1))/H17/H19/H20/(IF(E4="On",1+(1-(1-H22)^((E24*(MIN(MAX((0.1+($E$19/($E$19+((H5+18+18)*(C20)+2)))+(($E$20-H7+E27)/1000)-(C19)),0.1),1)))*H23))*H24,1)),0),"Calc. Off")</f>
        <v>7752</v>
      </c>
      <c r="O7" s="29" t="n">
        <f aca="false">IF($C$6="On",IF($C$7="On",ROUND(((H4+100+245+(H4+100+245)*C22)/(1-C21)/(1-IF(E21="CV",C24,0))/MIN(MAX((0.1+($E$19/($E$19+((H5+18)*(C20)+2)))+(($E$20-H7+E27)/1000)-(C19)),0.1),1))/H17/H19/H20/(IF(E4="On",1+(1-(1-H22)^((E24*(MIN(MAX((0.1+($E$19/($E$19+((H5+18)*(C20)+2)))+(($E$20-H7+E27)/1000)-(C19)),0.1),1)))*H23))*H24,1)),0),"Calc. Off"),"Calc. Off")</f>
        <v>7839</v>
      </c>
      <c r="P7" s="29" t="n">
        <f aca="false">IF($C$6="On",IF($C$8="On",ROUND(((H4+100+350+(H4+100+350)*C22)/(1-C21)/(1-IF(E21="CV",C24,0))/MIN(MAX((0.1+($E$19/($E$19+((H5+18+5)*(C20)+2)))+(($E$20-H7+E27)/1000)-(C19)),0.1),1))/H17/H19/H20/(IF(E4="On",1+(1-(1-H22)^((E24*(MIN(MAX((0.1+($E$19/($E$19+((H5+18+5)*(C20)+2)))+(($E$20-H7+E27)/1000)-(C19)),0.1),1)))*H23))*H24,1)),0),"Calc. Off"),"Calc. Off")</f>
        <v>8320</v>
      </c>
      <c r="Q7" s="29" t="str">
        <f aca="false">IF($C$6="On",IF($C$9="On",IF(G2="DD","N/A",IF(G2="SS","N/A",IF(G2="SSV","N/A",ROUND(((H4+100+350+(H4+350+100)*C22)/(1-C21)/(1-IF(E21="CV",C24,0))/MIN(MAX((0.1+($E$19/($E$19+((H5+18)*(C20)+2)))+(($E$20-H7+E27)/1000)-C19),0.1),1))/H17/IF($E$3="On",IF(E22="Torpedo",0.7,1),1)/H19/H20/(IF(E4="On",1+(1-(1-H22)^((E24*(MIN(MAX((0.1+($E$19/($E$19+((H5+18)*(C20)+2)))+(($E$20-H7+E27)/1000)-(C19)),0.1),1)))*H23))*H24,1)),0)))),"Calc. Off"),"Calc. Off")</f>
        <v>N/A</v>
      </c>
      <c r="R7" s="29" t="n">
        <f aca="false">IF($C$6="On",IF($C$10="On",ROUND(((H4+100+500+(H4+500+100)*C22+IF($E$3="On",ROUNDDOWN($E$26/15,0)*0.01*(H4+44+500),0))/(1-C21)/(1-IF(E21="CV",C24,0))/MIN(MAX((0.1+($E$19/($E$19+((H5+18)*(C20)+2)))+(($E$20-H7+E27)/1000)-C19),0.1),1))/H17/H19/H20/(IF(E4="On",1+(1-(1-H22)^((E24*(MIN(MAX((0.1+($E$19/($E$19+((H5+18)*(C20)+2)))+(($E$20-H7+E27)/1000)-(C19)),0.1),1)))*H23))*H24,1)),0),"Calc. Off"),"Calc. Off")</f>
        <v>9039</v>
      </c>
      <c r="S7" s="29" t="n">
        <f aca="false">IF($C$6="On",IF(C11="On",IF(G2&lt;&gt;"DD","N/A",ROUND(((H4+100+550+((H4+100+550)*C22))/(1-C21)/(1-IF(E21="CV",C24,0))/MIN(MAX((0.1+($E$19/($E$19+((H5+18)*(C20)+2)))+(($E$20-H7+E27)/1000)-(C19)),0.1),1))/H17/H19/H20/(IF(E4="On",1+(1-(1-H22)^((E24*(MIN(MAX((0.1+($E$19/($E$19+((H5+18)*(C20)+2)))+(($E$20-H7+E27)/1000)-(C19)),0.1),1)))*H23))*H24,1)),0)),"Calc. Off"),"Calc. Off")</f>
        <v>8867</v>
      </c>
      <c r="T7" s="29" t="str">
        <f aca="false">IF($C$6="On",IF($C$12="On",IF(G2="DD","N/A",IF(G2="CL","N/A",IF(G2="CA","N/A",IF(G2="BM","N/A",IF(G2="CVL","N/A",IF(G2="AR","N/A",IF(G2="SS","N/A",IF(G2="SSV","N/A",ROUND(((H4+100+650+(H4+650+100)*C22)/(1-C21)/(1-IF(E21="CV",C24,0))/MIN(MAX((0.1+($E$19/($E$19+((H5+18)*(C20)+2)))+(($E$20-H7+E27)/1000)-C19),0.1),1))/IF(E3="On",H18,H17)/H19/H20/IF(E3="On",IF(H3="Heavy",IFERROR(IF(INDEX(AmmoBase[Base],MATCH(E22,AmmoBase[Type],0))="AP",0.94,IF(OR(INDEX(AmmoBase[Base],MATCH(E22,AmmoBase[Type],0))="HE",INDEX(AmmoBase[Base],MATCH(E22,AmmoBase[Type],0))="Normal"),0.97,1)),1),1),1)/(IF(E4="On",1+(1-(1-H22)^((E24*(MIN(MAX((0.1+($E$19/($E$19+((H5+18)*(C20)+2)))+(($E$20-H7+E27)/1000)-(C19)),0.1),1)))*H23))*H24,1)),0))))))))),"Calc. Off"),"Calc. Off")</f>
        <v>N/A</v>
      </c>
      <c r="U7" s="29" t="n">
        <f aca="false">IF($C$6="On",IF($C$13="On",ROUND(((H4+100+(H4+100)*C22)/(1-C21)/(1-IF(E21="CV",C24,0))/MIN(MAX((0.1+($E$19/($E$19+((H5+18+15)*(C20)+2)))+(($E$20-H7+E27)/1000)-C19),0.1),1))/H17/H19/H20/(IF(E4="On",1+(1-(1-H22)^((E24*(MIN(MAX((0.1+($E$19/($E$19+((H5+18+15)*(C20)+2)))+(($E$20-H7+E27)/1000)-(C19)),0.1),1)))*H23))*H24,1)),0),"Calc. Off"),"Calc. Off")</f>
        <v>7334</v>
      </c>
      <c r="V7" s="29" t="n">
        <f aca="false">IF($C$6="On",IF($C$14="On",ROUND(((H4+100+(H4+100)*C22)/(1-C21)/(1-IF(E21="CV",C24,0))/MIN(MAX((0.1+($E$19/($E$19+((H5+18+28)*(C20)+2)))+(($E$20-H7+E27)/1000)-C19),0.1),1))/H17/H19/H20/(IF(E4="On",1+(1-(1-H22)^((E24*(MIN(MAX((0.1+($E$19/($E$19+((H5+18+28)*(C20)+2)))+(($E$20-H7+E27)/1000)-(C19)),0.1),1)))*H23))*H24,1)),0),"Calc. Off"),"Calc. Off")</f>
        <v>7603</v>
      </c>
      <c r="W7" s="29" t="n">
        <f aca="false">IF($C$6="On",IF($C$15="On",ROUND(((H4+100+75+(H4+75+100)*C22)/(1-C21)/(1-IF(E21="CV",C24,0))/MIN(MAX((0.1+($E$19/($E$19+((H5+18+35)*(C20)+2)))+(($E$20-H7+E27)/1000)-C19),0.1),1))/H17/H19/H20/(IF(E4="On",1+(1-(1-H22)^((E24*(MIN(MAX((0.1+($E$19/($E$19+((H5+18+35)*(C20)+2)))+(($E$20-H7+E27)/1000)-(C19)),0.1),1)))*H23))*H24,1)),0),"Calc. Off"),"Calc. Off")</f>
        <v>8024</v>
      </c>
      <c r="X7" s="29" t="n">
        <f aca="false">IF($C$6="On",IF($C$16="On",ROUND((((H4+100+60+(H4+60+100)*C22)/(1-C21)/(1-IF(E21="CV",C24,0))/MIN(MAX((0.1+($E$19/($E$19+((H5+18+40)*(C20)+2)))+(($E$20-H7+E27)/1000)-C19),0.1),1))/H17)/IF($E$3="On",0.97,1)/H19/H20/(IF(E4="On",1+(1-(1-H22)^((E24*(MIN(MAX((0.1+($E$19/($E$19+((H5+18+40)*(C20)+2)))+(($E$20-H7+E27)/1000)-(C19)),0.1),1)))*H23))*H24,1)),0),"Calc. Off"),"Calc. Off")</f>
        <v>8321</v>
      </c>
      <c r="Y7" s="12"/>
      <c r="Z7" s="12"/>
      <c r="AA7" s="12"/>
      <c r="AB7" s="12"/>
      <c r="AC7" s="12"/>
      <c r="AD7" s="12"/>
      <c r="AE7" s="12"/>
      <c r="AF7" s="12"/>
    </row>
    <row r="8" customFormat="false" ht="14.4" hidden="false" customHeight="false" outlineLevel="0" collapsed="false">
      <c r="A8" s="12"/>
      <c r="B8" s="17" t="s">
        <v>34</v>
      </c>
      <c r="C8" s="26" t="s">
        <v>27</v>
      </c>
      <c r="D8" s="14" t="s">
        <v>29</v>
      </c>
      <c r="E8" s="18" t="s">
        <v>49</v>
      </c>
      <c r="F8" s="12"/>
      <c r="G8" s="12"/>
      <c r="H8" s="12"/>
      <c r="I8" s="12"/>
      <c r="J8" s="28" t="s">
        <v>33</v>
      </c>
      <c r="K8" s="29" t="n">
        <f aca="false">IF($C$3="On",IF($C$7="On",ROUND(((H4+245+(H4+245)*C22)/(1-C21)/(1-IF(E21="CV",C24,0))/MIN(MAX((0.1+($E$19/($E$19+(H5*(C20)+2)))+(($E$20-H7+E27)/1000)-(C19)),0.1),1))/H17/H19/H20/(IF(E4="On",1+(1-(1-H22)^((E24*(MIN(MAX((0.1+($E$19/($E$19+(H5*(C20)+2)))+(($E$20-H7+E27)/1000)-(C19)),0.1),1)))*H23))*H24,1)),0),"Calc. Off"),"Calc. Off")</f>
        <v>7073</v>
      </c>
      <c r="L8" s="29" t="n">
        <f aca="false">IF($C$4="On",IF($C$7="On",ROUND(((H4+266+245+(H4+266+245)*C22)/(1-C21)/(1-IF(E21="CV",C24,0))/MIN(MAX((0.1+($E$19/($E$19+(H5*(C20)+2)))+(($E$20-H7+E27)/1000)-(C19)),0.1),1))/H17/H19/H20/(IF(E4="On",1+(1-(1-H25)^((E24*(MIN(MAX((0.1+($E$19/($E$19+(H5*(C20)+2)))+(($E$20-H7+E27)/1000)-(C19)),0.1),1)))*H26))*H27,1)),0),"Calc. Off"),"Calc. Off")</f>
        <v>7919</v>
      </c>
      <c r="M8" s="29" t="n">
        <f aca="false">IF($C$5="On",IF($C$7="On",ROUND(((H4+44+245+(H4+44+245)*C22)/(1-C21)/(1-IF(E21="CV",C24,0))/MIN(MAX((0.1+($E$19/($E$19+((H5+17)*(C20)+2)))+(($E$20-H7+E27)/1000)-(C19)),0.1),1))/H17/H19/H20/(IF(E4="On",1+(1-(1-H22)^((E24*(MIN(MAX((0.1+($E$19/($E$19+((H5+17)*(C20)+2)))+(($E$20-H7+E27)/1000)-(C19)),0.1),1)))*H23))*H24,1)),0),"Calc. Off"),"Calc. Off")</f>
        <v>7626</v>
      </c>
      <c r="N8" s="29" t="n">
        <f aca="false">IF($C$6="On",IF($C$7="On",ROUND(((H4+100+245+(H4+100+245)*C22)/(1-C21)/(1-IF(E21="CV",C24,0))/MIN(MAX((0.1+($E$19/($E$19+((H5+18)*(C20)+2)))+(($E$20-H7+E27)/1000)-(C19)),0.1),1))/H17/H19/H20/(IF(E4="On",1+(1-(1-H22)^((E24*(MIN(MAX((0.1+($E$19/($E$19+((H5+18)*(C20)+2)))+(($E$20-H7+E27)/1000)-(C19)),0.1),1)))*H23))*H24,1)),0),"Calc. Off"),"Calc. Off")</f>
        <v>7839</v>
      </c>
      <c r="O8" s="29" t="n">
        <f aca="false">IF($C$7="On",ROUND(((H4+245+245+(H4+245+245)*C22)/(1-C21)/(1-IF(E21="CV",C24,0))/MIN(MAX((0.1+($E$19/($E$19+((H5+0)*(C20)+2)))+(($E$20-H7+E27)/1000)-C19),0.1),1))/H17/H19/H20/(IF(E4="On",1+(1-(1-H22)^((E24*(MIN(MAX((0.1+($E$19/($E$19+(H5*(C20)+2)))+(($E$20-H7+E27)/1000)-(C19)),0.1),1)))*H23))*H24,1)),0),"Calc. Off")</f>
        <v>7852</v>
      </c>
      <c r="P8" s="29" t="n">
        <f aca="false">IF($C$8="On",IF($C$7="On",ROUND(((H4+245+350+(H4+245+350)*C22)/(1-C21)/(1-IF(E21="CV",C24,0))/MIN(MAX((0.1+($E$19/($E$19+((H5+5)*(C20)+2)))+(($E$20-H7+E27)/1000)-C19),0.1),1))/H17/H19/H20/(IF(E4="On",1+(1-(1-H22)^((E24*(MIN(MAX((0.1+($E$19/($E$19+((H5+5)*(C20)+2)))+(($E$20-H7+E27)/1000)-(C19)),0.1),1)))*H23))*H24,1)),0),"Calc. Off"),"Calc. Off")</f>
        <v>8326</v>
      </c>
      <c r="Q8" s="29" t="str">
        <f aca="false">IF($C$9="On",IF($C$7="On",IF(G2="DD","N/A",IF(G2="SS","N/A",IF(G2="SSV","N/A",ROUND(((H4+245+350+(H4+245+350)*C22)/(1-C21)/(1-IF(E21="CV",C24,0))/MIN(MAX((0.1+($E$19/($E$19+((H5+0)*(C20)+2)))+(($E$20-H7+E27)/1000)-C19),0.1),1))/H17/IF($E$3="On",IF(E22="Torpedo",0.7,1),1)/H19/H20/(IF(E4="On",1+(1-(1-H22)^((E24*(MIN(MAX((0.1+($E$19/($E$19+(H5*(C20)+2)))+(($E$20-H7+E27)/1000)-(C19)),0.1),1)))*H23))*H24,1)),0)))),"Calc. Off"),"Calc. Off")</f>
        <v>N/A</v>
      </c>
      <c r="R8" s="29" t="n">
        <f aca="false">IF($C$10="On",IF($C$7="On",ROUND(((H4+245+500+(H4+245+500)*C22+IF($E$3="On",ROUNDDOWN($E$26/15,0)*0.01*(H4+245+500),0))/(1-C21)/(1-IF(E21="CV",C24,0))/MIN(MAX((0.1+($E$19/($E$19+((H5+0)*(C20)+2)))+(($E$20-H7+E27)/1000)-C19),0.1),1))/H17/H19/H20/(IF(E4="On",1+(1-(1-H22)^((E24*(MIN(MAX((0.1+($E$19/($E$19+(H5*(C20)+2)))+(($E$20-H7+E27)/1000)-(C19)),0.1),1)))*H23))*H24,1)),0),"Calc. Off"),"Calc. Off")</f>
        <v>9009</v>
      </c>
      <c r="S8" s="29" t="n">
        <f aca="false">IF($C$7="On",IF(C11="On",IF(G2&lt;&gt;"DD","N/A",ROUND(((H4+245+550+((H4+245+550)*C22))/(1-C21)/(1-IF(E21="CV",C24,0))/MIN(MAX((0.1+($E$19/($E$19+(H5*(C20)+2)))+(($E$20-H7+E27)/1000)-(C19)),0.1),1))/H17/H19/H20/(IF(E4="On",1+(1-(1-H22)^((E24*(MIN(MAX((0.1+($E$19/($E$19+(H5*(C20)+2)))+(($E$20-H7+E27)/1000)-(C19)),0.1),1)))*H23))*H24,1)),0)),"Calc. Off"),"Calc. Off")</f>
        <v>8822</v>
      </c>
      <c r="T8" s="29" t="str">
        <f aca="false">IF($C$12="On",IF($C$7="On",IF(G2="DD","N/A",IF(G2="CL","N/A",IF(G2="CA","N/A",IF(G2="BM","N/A",IF(G2="CVL","N/A",IF(G2="AR","N/A",IF(G2="SS","N/A",IF(G2="SSV","N/A",ROUND(((H4+245+650+(H4+245+650)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8" s="29" t="n">
        <f aca="false">IF($C$13="On",IF($C$7="On",ROUND(((H4+245+(H4+245)*C22)/(1-C21)/(1-IF(E21="CV",C24,0))/MIN(MAX((0.1+($E$19/($E$19+((H5+15)*(C20)+2)))+(($E$20-H7+E27)/1000)-C19),0.1),1))/H17/H19/H20/(IF(E4="On",1+(1-(1-H22)^((E24*(MIN(MAX((0.1+($E$19/($E$19+((H5+15)*(C20)+2)))+(($E$20-H7+E27)/1000)-(C19)),0.1),1)))*H23))*H24,1)),0),"Calc. Off"),"Calc. Off")</f>
        <v>7432</v>
      </c>
      <c r="V8" s="29" t="n">
        <f aca="false">IF($C$14="On",IF($C$7="On",ROUND(((H4+245+(H4+245)*C22)/(1-C21)/(1-IF(E21="CV",C24,0))/MIN(MAX((0.1+($E$19/($E$19+((H5+28)*(C20)+2)))+(($E$20-H7+E27)/1000)-C19),0.1),1))/H17/H19/H20/(IF(E4="On",1+(1-(1-H22)^((E24*(MIN(MAX((0.1+($E$19/($E$19+((H5+28)*(C20)+2)))+(($E$20-H7+E27)/1000)-(C19)),0.1),1)))*H23))*H24,1)),0),"Calc. Off"),"Calc. Off")</f>
        <v>7732</v>
      </c>
      <c r="W8" s="29" t="n">
        <f aca="false">IF($C$15="On",IF($C$7="On",ROUND(((H4+245+75+(H4+245+75)*C22)/(1-C21)/(1-IF(E21="CV",C24,0))/MIN(MAX((0.1+($E$19/($E$19+((H5+35)*(C20)+2)))+(($E$20-H7+E27)/1000)-C19),0.1),1))/H17/H19/H20/(IF(E4="On",1+(1-(1-H22)^((E24*(MIN(MAX((0.1+($E$19/($E$19+((H5+35)*(C20)+2)))+(($E$20-H7+E27)/1000)-(C19)),0.1),1)))*H23))*H24,1)),0),"Calc. Off"),"Calc. Off")</f>
        <v>8156</v>
      </c>
      <c r="X8" s="29" t="n">
        <f aca="false">IF($C$16="On",IF($C$7="On",ROUND((((H4+245+60+(H4+245+60)*C22)/(1-C21)/(1-IF(E21="CV",C24,0))/MIN(MAX((0.1+($E$19/($E$19+((H5+40)*(C20)+2)))+(($E$20-H7+E27)/1000)-C19),0.1),1))/H17)/IF($E$3="On",0.97,1)/H19/H20/(IF(E4="On",1+(1-(1-H22)^((E24*(MIN(MAX((0.1+($E$19/($E$19+((H5+40)*(C20)+2)))+(($E$20-H7+E27)/1000)-(C19)),0.1),1)))*H23))*H24,1)),0),"Calc. Off"),"Calc. Off")</f>
        <v>8471</v>
      </c>
      <c r="Y8" s="12"/>
      <c r="Z8" s="12"/>
      <c r="AA8" s="12"/>
      <c r="AB8" s="12"/>
      <c r="AC8" s="12"/>
      <c r="AD8" s="12"/>
      <c r="AE8" s="12"/>
      <c r="AF8" s="12"/>
    </row>
    <row r="9" customFormat="false" ht="14.4" hidden="false" customHeight="false" outlineLevel="0" collapsed="false">
      <c r="A9" s="12"/>
      <c r="B9" s="17" t="s">
        <v>35</v>
      </c>
      <c r="C9" s="26" t="s">
        <v>27</v>
      </c>
      <c r="D9" s="14" t="s">
        <v>45</v>
      </c>
      <c r="E9" s="18" t="s">
        <v>49</v>
      </c>
      <c r="F9" s="12"/>
      <c r="G9" s="34" t="s">
        <v>53</v>
      </c>
      <c r="H9" s="34"/>
      <c r="I9" s="12"/>
      <c r="J9" s="28" t="s">
        <v>34</v>
      </c>
      <c r="K9" s="29" t="n">
        <f aca="false">IF($C$8="On",IF($C$3="On",ROUND(((H4+350+(H4+350)*C22)/(1-C21)/(1-IF(E21="CV",C24,0))/MIN(MAX((0.1+($E$19/($E$19+((H5+5)*(C20)+2)))+(($E$20-H7+E27)/1000)-(C19)),0.1),1))/H17/H19/H20/(IF(E4="On",1+(1-(1-H22)^((E24*(MIN(MAX((0.1+($E$19/($E$19+((H5+5)*(C20)+2)))+(($E$20-H7+E27)/1000)-(C19)),0.1),1)))*H23))*H24,1)),0),"Calc. Off"),"Calc. Off")</f>
        <v>7534</v>
      </c>
      <c r="L9" s="29" t="n">
        <f aca="false">IF($C$8="On",IF($C$4="On",ROUND(((H4+266+350+(H4+266+350)*C22)/(1-C21)/(1-IF(E21="CV",C24,0))/MIN(MAX((0.1+($E$19/($E$19+((H5+5)*(C20)+2)))+(($E$20-H7+E27)/1000)-(C19)),0.1),1))/H17/H19/H20/(IF(E4="On",1+(1-(1-H25)^((E24*(MIN(MAX((0.1+($E$19/($E$19+((H5+5)*(C20)+2)))+(($E$20-H7+E27)/1000)-(C19)),0.1),1)))*H26))*H27,1)),0),"Calc. Off"),"Calc. Off")</f>
        <v>8394</v>
      </c>
      <c r="M9" s="29" t="n">
        <f aca="false">IF($C$5="On",IF($C$8="On",ROUND(((H4+44+350+(H4+44+350)*C22)/(1-C21)/(1-IF(E21="CV",C24,0))/MIN(MAX((0.1+($E$19/($E$19+((H5+17+5)*(C20)+2)))+(($E$20-H7+E27)/1000)-(C19)),0.1),1))/H17/H19/H20/(IF(E4="On",1+(1-(1-H22)^((E24*(MIN(MAX((0.1+($E$19/($E$19+((H5+17+5)*(C20)+2)))+(($E$20-H7+E27)/1000)-(C19)),0.1),1)))*H23))*H24,1)),0),"Calc. Off"),"Calc. Off")</f>
        <v>8103</v>
      </c>
      <c r="N9" s="29" t="n">
        <f aca="false">IF($C$6="On",IF($C$8="On",ROUND(((H4+100+350+(H4+100+350)*C22)/(1-C21)/(1-IF(E21="CV",C24,0))/MIN(MAX((0.1+($E$19/($E$19+((H5+18+5)*(C20)+2)))+(($E$20-H7+E27)/1000)-(C19)),0.1),1))/H17/H19/H20/(IF(E4="On",1+(1-(1-H22)^((E24*(MIN(MAX((0.1+($E$19/($E$19+((H5+18+5)*(C20)+2)))+(($E$20-H7+E27)/1000)-(C19)),0.1),1)))*H23))*H24,1)),0),"Calc. Off"),"Calc. Off")</f>
        <v>8320</v>
      </c>
      <c r="O9" s="29" t="n">
        <f aca="false">IF($C$8="On",IF($C$7="On",ROUND(((H4+245+350+(H4+245+350)*C22)/(1-C21)/(1-IF(E21="CV",C24,0))/MIN(MAX((0.1+($E$19/($E$19+((H5+5)*(C20)+2)))+(($E$20-H7+E27)/1000)-C19),0.1),1))/H17/H19/H20/(IF(E4="On",1+(1-(1-H22)^((E24*(MIN(MAX((0.1+($E$19/($E$19+((H5+5)*(C20)+2)))+(($E$20-H7+E27)/1000)-(C19)),0.1),1)))*H23))*H24,1)),0),"Calc. Off"),"Calc. Off")</f>
        <v>8326</v>
      </c>
      <c r="P9" s="29" t="n">
        <f aca="false">IF($C$8="On",ROUND(((H4+350+350+(H4+350+350)*C22)/(1-C21)/(1-IF(E21="CV",C24,0))/MIN(MAX((0.1+($E$19/($E$19+((H5+5+5)*(C20)+2)))+(($E$20-H7+E27)/1000)-C19),0.1),1))/H17/H19/H20/(IF(E4="On",1+(1-(1-H22)^((E24*(MIN(MAX((0.1+($E$19/($E$19+((H5+5+5)*(C20)+2)))+(($E$20-H7+E27)/1000)-(C19)),0.1),1)))*H23))*H24,1)),0),"Calc. Off")</f>
        <v>8809</v>
      </c>
      <c r="Q9" s="29" t="str">
        <f aca="false">IF($C$8="On",IF($C$9="On",IF(G2="DD","N/A",IF(G2="SS","N/A",IF(G2="SSV","N/A",ROUND(((H4+350+350+(H4+350+350)*C22)/(1-C21)/(1-IF(E21="CV",C24,0))/MIN(MAX((0.1+($E$19/($E$19+((H5+5)*(C20)+2)))+(($E$20-H7+E27)/1000)-C19),0.1),1))/H17/IF($E$3="On",IF(E22="Torpedo",0.7,1),1)/H19/H20/(IF(E4="On",1+(1-(1-H22)^((E24*(MIN(MAX((0.1+($E$19/($E$19+((H5+5)*(C20)+2)))+(($E$20-H7+E27)/1000)-(C19)),0.1),1)))*H23))*H24,1)),0)))),"Calc. Off"),"Calc. Off")</f>
        <v>N/A</v>
      </c>
      <c r="R9" s="29" t="n">
        <f aca="false">IF($C$8="On",IF($C$10="On",ROUND(((H4+350+500+(H4+500+350)*C22+IF($E$3="On",ROUNDDOWN($E$26/15,0)*0.01*(H4+350+500),0))/(1-C21)/(1-IF(E21="CV",C24,0))/MIN(MAX((0.1+($E$19/($E$19+((H5+5)*(C20)+2)))+(($E$20-H7+E27)/1000)-C19),0.1),1))/H17/H19/H20/(IF(E4="On",1+(1-(1-H22)^((E24*(MIN(MAX((0.1+($E$19/($E$19+((H5+5)*(C20)+2)))+(($E$20-H7+E27)/1000)-(C19)),0.1),1)))*H23))*H24,1)),0),"Calc. Off"),"Calc. Off")</f>
        <v>9517</v>
      </c>
      <c r="S9" s="29" t="n">
        <f aca="false">IF($C$8="On",IF(C11="On",IF(G2&lt;&gt;"DD","N/A",ROUND(((H4+350+550+((H4+350+550)*C22))/(1-C21)/(1-IF(E21="CV",C24,0))/MIN(MAX((0.1+($E$19/($E$19+((H5+5)*(C20)+2)))+(($E$20-H7+E27)/1000)-(C19)),0.1),1))/H17/H19/H20/(IF(E4="On",1+(1-(1-H22)^((E24*(MIN(MAX((0.1+($E$19/($E$19+((H5+5)*(C20)+2)))+(($E$20-H7+E27)/1000)-(C19)),0.1),1)))*H23))*H24,1)),0)),"Calc. Off"),"Calc. Off")</f>
        <v>9312</v>
      </c>
      <c r="T9" s="29" t="str">
        <f aca="false">IF($C$8="On",IF($C$12="On",IF(G2="DD","N/A",IF(G2="CL","N/A",IF(G2="CA","N/A",IF(G2="BM","N/A",IF(G2="CVL","N/A",IF(G2="AR","N/A",IF(G2="SS","N/A",IF(G2="SSV","N/A",ROUND(((H4+350+650+(H4+350+650)*C22)/(1-C21)/(1-IF(E21="CV",C24,0))/MIN(MAX((0.1+($E$19/($E$19+((H5+5)*(C20)+2)))+(($E$20-H7+E27)/1000)-C19),0.1),1))/IF(E3="On",H18,H17)/H19/H20/IF(E3="On",IF(H3="Heavy",IFERROR(IF(INDEX(AmmoBase[Base],MATCH(E22,AmmoBase[Type],0))="AP",0.94,IF(OR(INDEX(AmmoBase[Base],MATCH(E22,AmmoBase[Type],0))="HE",INDEX(AmmoBase[Base],MATCH(E22,AmmoBase[Type],0))="Normal"),0.97,1)),1),1),1)/(IF(E4="On",1+(1-(1-H22)^((E24*(MIN(MAX((0.1+($E$19/($E$19+((H5+5)*(C20)+2)))+(($E$20-H7+E27)/1000)-(C19)),0.1),1)))*H23))*H24,1)),0))))))))),"Calc. Off"),"Calc. Off")</f>
        <v>N/A</v>
      </c>
      <c r="U9" s="29" t="n">
        <f aca="false">IF($C$8="On",IF($C$13="On",ROUND(((H4+350+(H4+350)*C22)/(1-C21)/(1-IF(E21="CV",C24,0))/MIN(MAX((0.1+($E$19/($E$19+((H5+5+15)*(C20)+2)))+(($E$20-H7+E27)/1000)-C19),0.1),1))/H17/H19/H20/(IF(E4="On",1+(1-(1-H22)^((E24*(MIN(MAX((0.1+($E$19/($E$19+((H5+5+15)*(C20)+2)))+(($E$20-H7+E27)/1000)-(C19)),0.1),1)))*H23))*H24,1)),0),"Calc. Off"),"Calc. Off")</f>
        <v>7905</v>
      </c>
      <c r="V9" s="29" t="n">
        <f aca="false">IF($C$8="On",IF($C$14="On",ROUND(((H4+350+(H4+350)*C22)/(1-C21)/(1-IF(E21="CV",C24,0))/MIN(MAX((0.1+($E$19/($E$19+((H5+5+28)*(C20)+2)))+(($E$20-H7+E27)/1000)-C19),0.1),1))/H17/H19/H20/(IF(E4="On",1+(1-(1-H22)^((E24*(MIN(MAX((0.1+($E$19/($E$19+((H5+5+28)*(C20)+2)))+(($E$20-H7+E27)/1000)-(C19)),0.1),1)))*H23))*H24,1)),0),"Calc. Off"),"Calc. Off")</f>
        <v>8215</v>
      </c>
      <c r="W9" s="29" t="n">
        <f aca="false">IF($C$8="On",IF($C$15="On",ROUND(((H4+350+75+(H4+350+75)*C22)/(1-C21)/(1-IF(E21="CV",C24,0))/MIN(MAX((0.1+($E$19/($E$19+((H5+5+35)*(C20)+2)))+(($E$20-H7+E27)/1000)-C19),0.1),1))/H17/H19/H20/(IF(E4="On",1+(1-(1-H22)^((E24*(MIN(MAX((0.1+($E$19/($E$19+((H5+5+35)*(C20)+2)))+(($E$20-H7+E27)/1000)-(C19)),0.1),1)))*H23))*H24,1)),0),"Calc. Off"),"Calc. Off")</f>
        <v>8649</v>
      </c>
      <c r="X9" s="29" t="n">
        <f aca="false">IF($C$8="On",IF($C$16="On",ROUND((((H4+350+60+(H4+60+350)*C22)/(1-C21)/(1-IF(E21="CV",C24,0))/MIN(MAX((0.1+($E$19/($E$19+((H5+5+40)*(C20)+2)))+(($E$20-H7+E27)/1000)-C19),0.1),1))/H17)/IF($E$3="On",0.97,1)/H19/H20/(IF(E4="On",1+(1-(1-H22)^((E24*(MIN(MAX((0.1+($E$19/($E$19+((H5+5+40)*(C20)+2)))+(($E$20-H7+E27)/1000)-(C19)),0.1),1)))*H23))*H24,1)),0),"Calc. Off"),"Calc. Off")</f>
        <v>8982</v>
      </c>
      <c r="Y9" s="12"/>
      <c r="Z9" s="12"/>
      <c r="AA9" s="12"/>
      <c r="AB9" s="12"/>
      <c r="AC9" s="12"/>
      <c r="AD9" s="12"/>
      <c r="AE9" s="12"/>
      <c r="AF9" s="12"/>
    </row>
    <row r="10" customFormat="false" ht="14.4" hidden="false" customHeight="false" outlineLevel="0" collapsed="false">
      <c r="A10" s="12"/>
      <c r="B10" s="17" t="s">
        <v>36</v>
      </c>
      <c r="C10" s="26" t="s">
        <v>27</v>
      </c>
      <c r="D10" s="14" t="s">
        <v>46</v>
      </c>
      <c r="E10" s="18" t="s">
        <v>49</v>
      </c>
      <c r="F10" s="12"/>
      <c r="G10" s="20" t="s">
        <v>29</v>
      </c>
      <c r="H10" s="35"/>
      <c r="I10" s="12"/>
      <c r="J10" s="28" t="s">
        <v>35</v>
      </c>
      <c r="K10" s="29" t="str">
        <f aca="false">IF($C$9="On",IF($C$3="On",IF(G2="DD","N/A",IF(G2="SS","N/A",IF(G2="SSV","N/A",ROUND(((H4+350+(H4+350)*C22)/(1-C21)/(1-IF(E21="CV",C24,0))/MIN(MAX((0.1+($E$19/($E$19+(H5*(C20)+2)))+(($E$20-H7+E27)/1000)-(C19)),0.1),1))/H17/IF($E$3="On",IF(E22="Torpedo",0.7,1),1)/H19/H20/(IF(E4="On",1+(1-(1-H22)^((E24*(MIN(MAX((0.1+($E$19/($E$19+(H5*(C20)+2)))+(($E$20-H7+E27)/1000)-(C19)),0.1),1)))*H23))*H24,1)),0)))),"Calc. Off"),"Calc. Off")</f>
        <v>N/A</v>
      </c>
      <c r="L10" s="29" t="str">
        <f aca="false">IF($C$9="On",IF($C$4="On",IF(G2="DD","N/A",IF(G2="SS","N/A",IF(G2="SSV","N/A",ROUND(((H4+266+350+(H4+266+350)*C22)/(1-C21)/(1-IF(E21="CV",C24,0))/MIN(MAX((0.1+($E$19/($E$19+(H5*(C20)+2)))+(($E$20-H7+E27)/1000)-(C19)),0.1),1))/H17/IF($E$3="On",IF(E22="Torpedo",0.7,1),1)/H19/H20/(IF(E4="On",1+(1-(1-H25)^((E24*(MIN(MAX((0.1+($E$19/($E$19+(H5*(C20)+2)))+(($E$20-H7+E27)/1000)-(C19)),0.1),1)))*H26))*H27,1)),0)))),"Calc. Off"),"Calc. Off")</f>
        <v>N/A</v>
      </c>
      <c r="M10" s="29" t="str">
        <f aca="false">IF($C$5="On",IF($C$9="On",IF(G2="DD","N/A",IF(G2="SS","N/A",IF(G2="SSV","N/A",ROUND(((H4+44+350+(H4+350+44)*C22)/(1-C21)/(1-IF(E21="CV",C24,0))/MIN(MAX((0.1+($E$19/($E$19+((H5+17)*(C20)+2)))+(($E$20-H7+E27)/1000)-C19),0.1),1))/H17/IF($E$3="On",IF(E22="Torpedo",0.7,1),1)/H19/H20/(IF(E4="On",1+(1-(1-H22)^((E24*(MIN(MAX((0.1+($E$19/($E$19+((H5+17)*(C20)+2)))+(($E$20-H7+E27)/1000)-(C19)),0.1),1)))*H23))*H24,1)),0)))),"Calc. Off"),"Calc. Off")</f>
        <v>N/A</v>
      </c>
      <c r="N10" s="29" t="str">
        <f aca="false">IF($C$6="On",IF($C$9="On",IF(G2="DD","N/A",IF(G2="SS","N/A",IF(G2="SSV","N/A",ROUND(((H4+100+350+(H4+350+100)*C22)/(1-C21)/(1-IF(E21="CV",C24,0))/MIN(MAX((0.1+($E$19/($E$19+((H5+18)*(C20)+2)))+(($E$20-H7+E27)/1000)-C19),0.1),1))/H17/IF($E$3="On",IF(E22="Torpedo",0.7,1),1)/H19/H20/(IF(E4="On",1+(1-(1-H22)^((E24*(MIN(MAX((0.1+($E$19/($E$19+((H5+18)*(C20)+2)))+(($E$20-H7+E27)/1000)-(C19)),0.1),1)))*H23))*H24,1)),0)))),"Calc. Off"),"Calc. Off")</f>
        <v>N/A</v>
      </c>
      <c r="O10" s="29" t="str">
        <f aca="false">IF($C$9="On",IF($C$7="On",IF(G2="DD","N/A",IF(G2="SS","N/A",IF(G2="SSV","N/A",ROUND(((H4+245+350+(H4+245+350)*C22)/(1-C21)/(1-IF(E21="CV",C24,0))/MIN(MAX((0.1+($E$19/($E$19+((H5+0)*(C20)+2)))+(($E$20-H7+E27)/1000)-C19),0.1),1))/H17/IF($E$3="On",IF(E22="Torpedo",0.7,1),1)/H19/H20/(IF(E4="On",1+(1-(1-H22)^((E24*(MIN(MAX((0.1+($E$19/($E$19+(H5*(C20)+2)))+(($E$20-H7+E27)/1000)-(C19)),0.1),1)))*H23))*H24,1)),0)))),"Calc. Off"),"Calc. Off")</f>
        <v>N/A</v>
      </c>
      <c r="P10" s="29" t="str">
        <f aca="false">IF($C$8="On",IF($C$9="On",IF(G2="DD","N/A",IF(G2="SS","N/A",IF(G2="SSV","N/A",ROUND(((H4+350+350+(H4+350+350)*C22)/(1-C21)/(1-IF(E21="CV",C24,0))/MIN(MAX((0.1+($E$19/($E$19+((H5+5)*(C20)+2)))+(($E$20-H7+E27)/1000)-C19),0.1),1))/H17/IF($E$3="On",IF(E22="Torpedo",0.7,1),1)/H19/H20/(IF(E4="On",1+(1-(1-H22)^((E24*(MIN(MAX((0.1+($E$19/($E$19+((H5+5)*(C20)+2)))+(($E$20-H7+E27)/1000)-(C19)),0.1),1)))*H23))*H24,1)),0)))),"Calc. Off"),"Calc. Off")</f>
        <v>N/A</v>
      </c>
      <c r="Q10" s="29" t="str">
        <f aca="false">IF($C$9="On",IF(G2="DD","N/A",IF(G2="SS","N/A",IF(G2="SSV","N/A",ROUND(((H4+350+350+(H4+350+350)*C22)/(1-C21)/(1-IF(E21="CV",C24,0))/MIN(MAX((0.1+($E$19/($E$19+((H5+0)*(C20)+2)))+(($E$20-H7+E27)/1000)-C19),0.1),1))/H17/IF($E$3="On",IF(E22="Torpedo",0.7,1),1)/H19/H20/(IF(E4="On",1+(1-(1-H22)^((E24*(MIN(MAX((0.1+($E$19/($E$19+(H5*(C20)+2)))+(($E$20-H7+E27)/1000)-(C19)),0.1),1)))*H23))*H24,1)),0)))),"Calc. Off")</f>
        <v>N/A</v>
      </c>
      <c r="R10" s="29" t="str">
        <f aca="false">IF($C$9="On",IF($C$10="On",IF(G2="DD","N/A",IF(G2="SS","N/A",IF(G2="SSV","N/A",ROUND(((H4+350+500+(H4+500+350)*C22+IF($E$3="On",ROUNDDOWN($E$26/15,0)*0.01*(H4+350+500),0))/(1-C21)/(1-IF(E21="CV",C24,0))/MIN(MAX((0.1+($E$19/($E$19+((H5+0)*(C20)+2)))+(($E$20-H7+E27)/1000)-C19),0.1),1))/H17/IF($E$3="On",IF(E22="Torpedo",0.7,1),1)/H19/H20/(IF(E4="On",1+(1-(1-H22)^((E24*(MIN(MAX((0.1+($E$19/($E$19+(H5*(C20)+2)))+(($E$20-H7+E27)/1000)-(C19)),0.1),1)))*H23))*H24,1)),0)))),"Calc. Off"),"Calc. Off")</f>
        <v>N/A</v>
      </c>
      <c r="S10" s="29" t="str">
        <f aca="false">IF($C$9="On",IF(C11="On",IF(G2="DD","N/A",IF(G2="SS","N/A",IF(G2="SSV","N/A",IF(G2&lt;&gt;"DD","N/A",ROUND(((H4+550+((H4+550)*C22))/(1-C21)/(1-IF(E21="CV",C24,0))/MIN(MAX((0.1+($E$19/($E$19+(H5*(C20)+2)))+(($E$20-H7+E27)/1000)-(C19)),0.1),1))/H17/H19/H20/(IF(E4="On",1+(1-(1-H22)^((E24*(MIN(MAX((0.1+($E$19/($E$19+(H5*(C20)+2)))+(($E$20-H7+E27)/1000)-(C19)),0.1),1)))*H23))*H24,1)),0))))),"Calc. Off"),"Calc. Off")</f>
        <v>N/A</v>
      </c>
      <c r="T10" s="29" t="str">
        <f aca="false">IF($C$12="On",IF($C$9="On",IF(G2="DD","N/A",IF(G2="CL","N/A",IF(G2="CA","N/A",IF(G2="BM","N/A",IF(G2="CVL","N/A",IF(G2="AR","N/A",IF(G2="SS","N/A",IF(G2="SSV","N/A",ROUND(((H4+650+350+(H4+650+350)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10" s="29" t="str">
        <f aca="false">IF($C$13="On",IF($C$9="On",IF(G2="DD","N/A",IF(G2="SS","N/A",IF(G2="SSV","N/A",ROUND(((H4+350+(H4+350)*C22)/(1-C21)/(1-IF(E21="CV",C24,0))/MIN(MAX((0.1+($E$19/($E$19+((H5+15)*(C20)+2)))+(($E$20-H7+E27)/1000)-C19),0.1),1))/H17/IF($E$3="On",IF(E22="Torpedo",0.7,1),1)/H19/H20/(IF(E4="On",1+(1-(1-H22)^((E24*(MIN(MAX((0.1+($E$19/($E$19+((H5+15)*(C20)+2)))+(($E$20-H7+E27)/1000)-(C19)),0.1),1)))*H23))*H24,1)),0)))),"Calc. Off"),"Calc. Off")</f>
        <v>N/A</v>
      </c>
      <c r="V10" s="29" t="str">
        <f aca="false">IF($C$14="On",IF($C$9="On",IF(G2="DD","N/A",IF(G2="SS","N/A",IF(G2="SSV","N/A",ROUND(((H4+350+(H4+350)*C22)/(1-C21)/(1-IF(E21="CV",C24,0))/MIN(MAX((0.1+($E$19/($E$19+((H5+28)*(C20)+2)))+(($E$20-H7+E27)/1000)-C19),0.1),1))/H17/IF($E$3="On",IF(E22="Torpedo",0.7,1),1)/H19/H20/(IF(E4="On",1+(1-(1-H22)^((E24*(MIN(MAX((0.1+($E$19/($E$19+((H5+28)*(C20)+2)))+(($E$20-H7+E27)/1000)-(C19)),0.1),1)))*H23))*H24,1)),0)))),"Calc. Off"),"Calc. Off")</f>
        <v>N/A</v>
      </c>
      <c r="W10" s="29" t="str">
        <f aca="false">IF($C$15="On",IF($C$9="On",IF(G2="DD","N/A",IF(G2="SS","N/A",IF(G2="SSV","N/A",ROUND(((H4+350+75+(H4+350+75)*C22)/(1-C21)/(1-IF(E21="CV",C24,0))/MIN(MAX((0.1+($E$19/($E$19+((H5+35)*(C20)+2)))+(($E$20-H7+E27)/1000)-C19),0.1),1))/H17/IF($E$3="On",IF(E22="Torpedo",0.7,1),1)/H19/H20/(IF(E4="On",1+(1-(1-H22)^((E24*(MIN(MAX((0.1+($E$19/($E$19+((H5+35)*(C20)+2)))+(($E$20-H7+E27)/1000)-(C19)),0.1),1)))*H23))*H24,1)),0)))),"Calc. Off"),"Calc. Off")</f>
        <v>N/A</v>
      </c>
      <c r="X10" s="29" t="str">
        <f aca="false">IF($C$16="On",IF($C$9="On",IF(G2="DD","N/A",IF(G2="SS","N/A",IF(G2="SSV","N/A",ROUND((((H4+350+60+(H4+350+60)*C22)/(1-C21)/(1-IF(E21="CV",C24,0))/MIN(MAX((0.1+($E$19/($E$19+((H5+40)*(C20)+2)))+(($E$20-H7+E27)/1000)-C19),0.1),1))/H17/IF($E$3="On",IF(E22="Torpedo",0.7,1),1))/IF($E$3="On",0.97,1)/H19/H20/(IF(E4="On",1+(1-(1-H22)^((E24*(MIN(MAX((0.1+($E$19/($E$19+((H5+40)*(C20)+2)))+(($E$20-H7+E27)/1000)-(C19)),0.1),1)))*H23))*H24,1)),0)))),"Calc. Off"),"Calc. Off")</f>
        <v>N/A</v>
      </c>
      <c r="Y10" s="12"/>
      <c r="Z10" s="12"/>
      <c r="AA10" s="12"/>
      <c r="AB10" s="12"/>
      <c r="AC10" s="12"/>
      <c r="AD10" s="12"/>
      <c r="AE10" s="12"/>
      <c r="AF10" s="12"/>
    </row>
    <row r="11" customFormat="false" ht="14.4" hidden="false" customHeight="false" outlineLevel="0" collapsed="false">
      <c r="A11" s="12"/>
      <c r="B11" s="17" t="s">
        <v>37</v>
      </c>
      <c r="C11" s="26" t="s">
        <v>27</v>
      </c>
      <c r="D11" s="14" t="s">
        <v>50</v>
      </c>
      <c r="E11" s="18" t="s">
        <v>49</v>
      </c>
      <c r="F11" s="12"/>
      <c r="G11" s="20" t="s">
        <v>45</v>
      </c>
      <c r="H11" s="36"/>
      <c r="I11" s="12"/>
      <c r="J11" s="28" t="s">
        <v>36</v>
      </c>
      <c r="K11" s="29" t="n">
        <f aca="false">IF($C$3="On",IF($C$10="On",ROUND(((H4+500+(H4+500)*C22+IF($E$3="On",ROUNDDOWN($E$26/15,0)*0.01*(H4+500),0))/(1-C21)/(1-IF(E21="CV",C24,0))/MIN(MAX((0.1+($E$19/($E$19+(H5*(C20)+2)))+(($E$20-H7+E27)/1000)-(C19)),0.1),1))/H17/H19/H20/(IF(E4="On",1+(1-(1-H22)^((E24*(MIN(MAX((0.1+($E$19/($E$19+(H5*(C20)+2)))+(($E$20-H7+E27)/1000)-(C19)),0.1),1)))*H23))*H24,1)),0),"Calc. Off"),"Calc. Off")</f>
        <v>8199</v>
      </c>
      <c r="L11" s="29" t="n">
        <f aca="false">IF($C$4="On",IF($C$10="On",ROUND(((H4+266+500+(H4+500+266)*C22+IF($E$3="On",ROUNDDOWN($E$26/15,0)*0.01*(H4+266+500),0))/(1-C21)/(1-IF(E21="CV",C24,0))/MIN(MAX((0.1+($E$19/($E$19+(H5*(C20)+2)))+(($E$20-H7+E27)/1000)-(C19)),0.1),1))/H17/H19/H20/(IF(E4="On",1+(1-(1-H25)^((E24*(MIN(MAX((0.1+($E$19/($E$19+(H5*(C20)+2)))+(($E$20-H7+E27)/1000)-(C19)),0.1),1)))*H26))*H27,1)),0),"Calc. Off"),"Calc. Off")</f>
        <v>9079</v>
      </c>
      <c r="M11" s="29" t="n">
        <f aca="false">IF($C$5="On",IF($C$10="On",ROUND(((H4+44+500+(H4+500+44)*C22+IF($E$3="On",ROUNDDOWN($E$26/15,0)*0.01*(H4+44+500),0))/(1-C21)/(1-IF(E21="CV",C24,0))/MIN(MAX((0.1+($E$19/($E$19+((H5+17)*(C20)+2)))+(($E$20-H7+E27)/1000)-C19),0.1),1))/H17/H19/H20/(IF(E4="On",1+(1-(1-H22)^((E24*(MIN(MAX((0.1+($E$19/($E$19+((H5+17)*(C20)+2)))+(($E$20-H7+E27)/1000)-(C19)),0.1),1)))*H23))*H24,1)),0),"Calc. Off"),"Calc. Off")</f>
        <v>8823</v>
      </c>
      <c r="N11" s="29" t="n">
        <f aca="false">IF($C$6="On",IF($C$10="On",ROUND(((H4+100+500+(H4+500+100)*C22+IF($E$3="On",ROUNDDOWN($E$26/15,0)*0.01*(H4+44+500),0))/(1-C21)/(1-IF(E21="CV",C24,0))/MIN(MAX((0.1+($E$19/($E$19+((H5+18)*(C20)+2)))+(($E$20-H7+E27)/1000)-C19),0.1),1))/H17/H19/H20/(IF(E4="On",1+(1-(1-H22)^((E24*(MIN(MAX((0.1+($E$19/($E$19+((H5+18)*(C20)+2)))+(($E$20-H7+E27)/1000)-(C19)),0.1),1)))*H23))*H24,1)),0),"Calc. Off"),"Calc. Off")</f>
        <v>9039</v>
      </c>
      <c r="O11" s="29" t="n">
        <f aca="false">IF($C$10="On",IF($C$7="On",ROUND(((H4+245+500+(H4+245+500)*C22+IF($E$3="On",ROUNDDOWN($E$26/15,0)*0.01*(H4+245+500),0))/(1-C21)/(1-IF(E21="CV",C24,0))/MIN(MAX((0.1+($E$19/($E$19+((H5+0)*(C20)+2)))+(($E$20-H7+E27)/1000)-C19),0.1),1))/H17/H19/H20/(IF(E4="On",1+(1-(1-H22)^((E24*(MIN(MAX((0.1+($E$19/($E$19+(H5*(C20)+2)))+(($E$20-H7+E27)/1000)-(C19)),0.1),1)))*H23))*H24,1)),0),"Calc. Off"),"Calc. Off")</f>
        <v>9009</v>
      </c>
      <c r="P11" s="29" t="n">
        <f aca="false">IF($C$8="On",IF($C$10="On",ROUND(((H4+350+500+(H4+500+350)*C22+IF($E$3="On",ROUNDDOWN($E$26/15,0)*0.01*(H4+350+500),0))/(1-C21)/(1-IF(E21="CV",C24,0))/MIN(MAX((0.1+($E$19/($E$19+((H5+5)*(C20)+2)))+(($E$20-H7+E27)/1000)-C19),0.1),1))/H17/H19/H20/(IF(E4="On",1+(1-(1-H22)^((E24*(MIN(MAX((0.1+($E$19/($E$19+((H5+5)*(C20)+2)))+(($E$20-H7+E27)/1000)-(C19)),0.1),1)))*H23))*H24,1)),0),"Calc. Off"),"Calc. Off")</f>
        <v>9517</v>
      </c>
      <c r="Q11" s="29" t="str">
        <f aca="false">IF($C$9="On",IF($C$10="On",IF(G2="DD","N/A",IF(G2="SS","N/A",IF(G2="SSV","N/A",ROUND(((H4+350+500+(H4+500+350)*C22+IF($E$3="On",ROUNDDOWN($E$26/15,0)*0.01*(H4+350+500),0))/(1-C21)/(1-IF(E21="CV",C24,0))/MIN(MAX((0.1+($E$19/($E$19+((H5+0)*(C20)+2)))+(($E$20-H7+E27)/1000)-C19),0.1),1))/H17/IF($E$3="On",IF(E22="Torpedo",0.7,1),1)/H19/H20/(IF(E4="On",1+(1-(1-H22)^((E24*(MIN(MAX((0.1+($E$19/($E$19+(H5*(C20)+2)))+(($E$20-H7+E27)/1000)-(C19)),0.1),1)))*H23))*H24,1)),0)))),"Calc. Off"),"Calc. Off")</f>
        <v>N/A</v>
      </c>
      <c r="R11" s="29" t="n">
        <f aca="false">IF($C$10="On",ROUND(((H4+500+500+(H4+500+500)*C22+IF($E$3="On",ROUNDDOWN($E$26/15,0)*0.01*(H4+500+500),0))/(1-C21)/(1-IF(E21="CV",C24,0))/MIN(MAX((0.1+($E$19/($E$19+((H5+0)*(C20)+2)))+(($E$20-H7+E27)/1000)-C19),0.1),1))/H17/H19/H20/(IF(E4="On",1+(1-(1-H22)^((E24*(MIN(MAX((0.1+($E$19/($E$19+(H5*(C20)+2)))+(($E$20-H7+E27)/1000)-(C19)),0.1),1)))*H23))*H24,1)),0),"Calc. Off")</f>
        <v>9853</v>
      </c>
      <c r="S11" s="29" t="n">
        <f aca="false">IF($C$10="On",IF(C11="On",IF(G2&lt;&gt;"DD","N/A",ROUND(((H4+550+500+((H4+550+500)*C22+IF($E$3="On",ROUNDDOWN($E$26/15,0)*0.01*(H4+550+500),0)))/(1-C21)/(1-IF(E21="CV",C24,0))/MIN(MAX((0.1+($E$19/($E$19+(H5*(C20)+2)))+(($E$20-H7+E27)/1000)-(C19)),0.1),1))/H17/H19/H20/(IF(E4="On",1+(1-(1-H22)^((E24*(MIN(MAX((0.1+($E$19/($E$19+(H5*(C20)+2)))+(($E$20-H7+E27)/1000)-(C19)),0.1),1)))*H23))*H24,1)),0)),"Calc. Off"),"Calc. Off")</f>
        <v>10018</v>
      </c>
      <c r="T11" s="29" t="str">
        <f aca="false">IF($C$10="On",IF($C$12="On",IF(G2="DD","N/A",IF(G2="CL","N/A",IF(G2="CA","N/A",IF(G2="BM","N/A",IF(G2="CVL","N/A",IF(G2="AR","N/A",IF(G2="SS","N/A",IF(G2="SSV","N/A",ROUND(((H4+650+500+(H4+650+500)*C22+IF($E$3="On",ROUNDDOWN($E$26/15,0)*0.01*(H4+650+500),0))/(1-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U11" s="29" t="n">
        <f aca="false">IF($C$13="On",IF($C$10="On",ROUND(((H4+500+(H4+500)*C22+IF($E$3="On",ROUNDDOWN($E$26/15,0)*0.01*(H4+500),0))/(1-C21)/(1-IF(E21="CV",C24,0))/MIN(MAX((0.1+($E$19/($E$19+((H5+15)*(C20)+2)))+(($E$20-H7+E27)/1000)-C19),0.1),1))/H17/H19/H20/(IF(E4="On",1+(1-(1-H22)^((E24*(MIN(MAX((0.1+($E$19/($E$19+((H5+15)*(C20)+2)))+(($E$20-H7+E27)/1000)-(C19)),0.1),1)))*H23))*H24,1)),0),"Calc. Off"),"Calc. Off")</f>
        <v>8615</v>
      </c>
      <c r="V11" s="29" t="n">
        <f aca="false">IF($C$14="On",IF($C$10="On",ROUND(((H4+500+(H4+500)*C22+IF($E$3="On",ROUNDDOWN($E$26/15,0)*0.01*(H4+500),0))/(1-C21)/(1-IF(E21="CV",C24,0))/MIN(MAX((0.1+($E$19/($E$19+((H5+28)*(C20)+2)))+(($E$20-H7+E27)/1000)-C19),0.1),1))/H17/H19/H20/(IF(E4="On",1+(1-(1-H22)^((E24*(MIN(MAX((0.1+($E$19/($E$19+((H5+28)*(C20)+2)))+(($E$20-H7+E27)/1000)-(C19)),0.1),1)))*H23))*H24,1)),0),"Calc. Off"),"Calc. Off")</f>
        <v>8963</v>
      </c>
      <c r="W11" s="29" t="n">
        <f aca="false">IF($C$15="On",IF($C$10="On",ROUND(((H4+500+75+(H4+500+75)*C22+IF($E$3="On",ROUNDDOWN($E$26/15,0)*0.01*(H4+500+75),0))/(1-C21)/(1-IF(E21="CV",C24,0))/MIN(MAX((0.1+($E$19/($E$19+((H5+35)*(C20)+2)))+(($E$20-H7+E27)/1000)-C19),0.1),1))/H17/H19/H20/(IF(E4="On",1+(1-(1-H22)^((E24*(MIN(MAX((0.1+($E$19/($E$19+((H5+35)*(C20)+2)))+(($E$20-H7+E27)/1000)-(C19)),0.1),1)))*H23))*H24,1)),0),"Calc. Off"),"Calc. Off")</f>
        <v>9423</v>
      </c>
      <c r="X11" s="29" t="n">
        <f aca="false">IF($C$16="On",IF($C$10="On",ROUND((((H4+500+60+(H4+500+60)*C22+IF($E$3="On",ROUNDDOWN($E$26/15,0)*0.01*(H4+500+60),0))/(1-C21)/(1-IF(E21="CV",C24,0))/MIN(MAX((0.1+($E$19/($E$19+((H5+40)*(C20)+2)))+(($E$20-H7+E27)/1000)-C19),0.1),1))/H17)/IF($E$3="On",0.97,1)/H19/H20/(IF(E4="On",1+(1-(1-H22)^((E24*(MIN(MAX((0.1+($E$19/($E$19+((H5+40)*(C20)+2)))+(($E$20-H7+E27)/1000)-(C19)),0.1),1)))*H23))*H24,1)),0),"Calc. Off"),"Calc. Off")</f>
        <v>9793</v>
      </c>
      <c r="Y11" s="12"/>
      <c r="Z11" s="12"/>
      <c r="AA11" s="12"/>
      <c r="AB11" s="12"/>
      <c r="AC11" s="12"/>
      <c r="AD11" s="12"/>
      <c r="AE11" s="12"/>
      <c r="AF11" s="12"/>
    </row>
    <row r="12" customFormat="false" ht="14.4" hidden="false" customHeight="false" outlineLevel="0" collapsed="false">
      <c r="A12" s="12"/>
      <c r="B12" s="17" t="s">
        <v>54</v>
      </c>
      <c r="C12" s="26" t="s">
        <v>27</v>
      </c>
      <c r="D12" s="14" t="s">
        <v>55</v>
      </c>
      <c r="E12" s="18" t="s">
        <v>49</v>
      </c>
      <c r="F12" s="12"/>
      <c r="G12" s="20" t="s">
        <v>46</v>
      </c>
      <c r="H12" s="35"/>
      <c r="I12" s="12"/>
      <c r="J12" s="28" t="s">
        <v>37</v>
      </c>
      <c r="K12" s="29" t="n">
        <f aca="false">IF($C$3="On",IF(C11="On",IF(G2&lt;&gt;"DD","N/A",ROUND(((H4+550+((H4+550)*C22))/(1-C21)/(1-IF(E21="CV",C24,0))/MIN(MAX((0.1+($E$19/($E$19+(H5*(C20)+2)))+(($E$20-H7+E27)/1000)-(C19)),0.1),1))/H17/H19/H20/(IF(E4="On",1+(1-(1-H22)^((E24*(MIN(MAX((0.1+($E$19/($E$19+(H5*(C20)+2)))+(($E$20-H7+E27)/1000)-(C19)),0.1),1)))*H23))*H24,1)),0)),"Calc. Off"),"Calc. Off")</f>
        <v>8043</v>
      </c>
      <c r="L12" s="29" t="n">
        <f aca="false">IF($C$4="On",IF(C11="On",IF(G2&lt;&gt;"DD","N/A",ROUND(((H4+550+266+((H4+550+266)*C22))/(1-C21)/(1-IF(E21="CV",C24,0))/MIN(MAX((0.1+($E$19/($E$19+(H5*(C20)+2)))+(($E$20-H7+E27)/1000)-(C19)),0.1),1))/H17/H19/H20/(IF(E4="On",1+(1-(1-H25)^((E24*(MIN(MAX((0.1+($E$19/($E$19+(H5*(C20)+2)))+(($E$20-H7+E27)/1000)-(C19)),0.1),1)))*H26))*H27,1)),0)),"Calc. Off"),"Calc. Off")</f>
        <v>8889</v>
      </c>
      <c r="M12" s="29" t="n">
        <f aca="false">IF($C$5="On",IF(C11="On",IF(G2&lt;&gt;"DD","N/A",ROUND(((H4+44+550+((H4+44+550)*C22))/(1-C21)/(1-IF(E21="CV",C24,0))/MIN(MAX((0.1+($E$19/($E$19+((H5+17)*(C20)+2)))+(($E$20-H7+E27)/1000)-(C19)),0.1),1))/H17/H19/H20/(IF(E4="On",1+(1-(1-H22)^((E24*(MIN(MAX((0.1+($E$19/($E$19+((H5+17)*(C20)+2)))+(($E$20-H7+E27)/1000)-(C19)),0.1),1)))*H23))*H24,1)),0)),"Calc. Off"),"Calc. Off")</f>
        <v>8652</v>
      </c>
      <c r="N12" s="29" t="n">
        <f aca="false">IF($C$6="On",IF(C11="On",IF(G2&lt;&gt;"DD","N/A",ROUND(((H4+100+550+((H4+100+550)*C22))/(1-C21)/(1-IF(E21="CV",C24,0))/MIN(MAX((0.1+($E$19/($E$19+((H5+18)*(C20)+2)))+(($E$20-H7+E27)/1000)-(C19)),0.1),1))/H17/H19/H20/(IF(E4="On",1+(1-(1-H22)^((E24*(MIN(MAX((0.1+($E$19/($E$19+((H5+18)*(C20)+2)))+(($E$20-H7+E27)/1000)-(C19)),0.1),1)))*H23))*H24,1)),0)),"Calc. Off"),"Calc. Off")</f>
        <v>8867</v>
      </c>
      <c r="O12" s="29" t="n">
        <f aca="false">IF($C$7="On",IF(C11="On",IF(G2&lt;&gt;"DD","N/A",ROUND(((H4+245+550+((H4+245+550)*C22))/(1-C21)/(1-IF(E21="CV",C24,0))/MIN(MAX((0.1+($E$19/($E$19+(H5*(C20)+2)))+(($E$20-H7+E27)/1000)-(C19)),0.1),1))/H17/H19/H20/(IF(E4="On",1+(1-(1-H22)^((E24*(MIN(MAX((0.1+($E$19/($E$19+(H5*(C20)+2)))+(($E$20-H7+E27)/1000)-(C19)),0.1),1)))*H23))*H24,1)),0)),"Calc. Off"),"Calc. Off")</f>
        <v>8822</v>
      </c>
      <c r="P12" s="29" t="n">
        <f aca="false">IF($C$8="On",IF(C11="On",IF(G2&lt;&gt;"DD","N/A",ROUND(((H4+350+550+((H4+350+550)*C22))/(1-C21)/(1-IF(E21="CV",C24,0))/MIN(MAX((0.1+($E$19/($E$19+((H5+5)*(C20)+2)))+(($E$20-H7+E27)/1000)-(C19)),0.1),1))/H17/H19/H20/(IF(E4="On",1+(1-(1-H22)^((E24*(MIN(MAX((0.1+($E$19/($E$19+((H5+5)*(C20)+2)))+(($E$20-H7+E27)/1000)-(C19)),0.1),1)))*H23))*H24,1)),0)),"Calc. Off"),"Calc. Off")</f>
        <v>9312</v>
      </c>
      <c r="Q12" s="29" t="str">
        <f aca="false">IF($C$9="On",IF(C11="On",IF(G2="DD","N/A",IF(G2="SS","N/A",IF(G2="SSV","N/A",IF(G2&lt;&gt;"DD","N/A",ROUND(((H4+550+((H4+550)*C22))/(1-C21)/(1-IF(E21="CV",C24,0))/MIN(MAX((0.1+($E$19/($E$19+(H5*(C20)+2)))+(($E$20-H7+E27)/1000)-(C19)),0.1),1))/H17/H19/H20/(IF(E4="On",1+(1-(1-H22)^((E24*(MIN(MAX((0.1+($E$19/($E$19+(H5*(C20)+2)))+(($E$20-H7+E27)/1000)-(C19)),0.1),1)))*H23))*H24,1)),0))))),"Calc. Off"),"Calc. Off")</f>
        <v>N/A</v>
      </c>
      <c r="R12" s="29" t="n">
        <f aca="false">IF($C$10="On",IF(C11="On",IF(G2&lt;&gt;"DD","N/A",ROUND(((H4+550+500+((H4+550+500)*C22+IF($E$3="On",ROUNDDOWN($E$26/15,0)*0.01*(H4+550+500),0)))/(1-C21)/(1-IF(E21="CV",C24,0))/MIN(MAX((0.1+($E$19/($E$19+(H5*(C20)+2)))+(($E$20-H7+E27)/1000)-(C19)),0.1),1))/H17/H19/H20/(IF(E4="On",1+(1-(1-H22)^((E24*(MIN(MAX((0.1+($E$19/($E$19+(H5*(C20)+2)))+(($E$20-H7+E27)/1000)-(C19)),0.1),1)))*H23))*H24,1)),0)),"Calc. Off"),"Calc. Off")</f>
        <v>10018</v>
      </c>
      <c r="S12" s="29" t="n">
        <f aca="false">IF(C11="On",IF(G2&lt;&gt;"DD","N/A",ROUND(((H4+550+550+((H4+550+550)*C22))/(1-C21)/(1-IF(E21="CV",C24,0))/MIN(MAX((0.1+($E$19/($E$19+(H5*(C20)+2)))+(($E$20-H7+E27)/1000)-(C19)),0.1),1))/H17/H19/H20/(IF(E4="On",1+(1-(1-H22)^((E24*(MIN(MAX((0.1+($E$19/($E$19+(H5*(C20)+2)))+(($E$20-H7+E27)/1000)-(C19)),0.1),1)))*H23))*H24,1)),0)),"Calc. Off")</f>
        <v>9792</v>
      </c>
      <c r="T12" s="29" t="str">
        <f aca="false">IF($C$12="On",IF(C11="On",IF(G2="DD","N/A",IF(G2="CL","N/A",IF(G2="CA","N/A",IF(G2="BM","N/A",IF(G2="CVL","N/A",IF(G2="AR","N/A",IF(G2="SS","N/A",IF(G2="SSV","N/A",IF(G2&lt;&gt;"DD","N/A",ROUND(((H4+650+550+((H4+650+550)*C22))/(1-C21)/(1-IF(E21="CV",C24,0))/MIN(MAX((0.1+($E$19/($E$19+(H5*(C20)+2)))+(($E$20-H7+E27)/1000)-(C19)),0.1),1))/H18/H19/H20/(IF(E4="On",1+(1-(1-H22)^((E24*(MIN(MAX((0.1+($E$19/($E$19+(H5*(C20)+2)))+(($E$20-H7+E27)/1000)-(C19)),0.1),1)))*H23))*H24,1)),0)))))))))),"Calc. Off"),"Calc. Off")</f>
        <v>N/A</v>
      </c>
      <c r="U12" s="29" t="n">
        <f aca="false">IF($C$13="On",IF(C11="On",IF(G2&lt;&gt;"DD","N/A",ROUND(((H4+550+((H4+550)*C22))/(1-C21)/(1-IF(E21="CV",C24,0))/MIN(MAX((0.1+($E$19/($E$19+((H5+15)*(C20)+2)))+(($E$20-H7+E27)/1000)-(C19)),0.1),1))/H17/H19/H20/(IF(E4="On",1+(1-(1-H22)^((E24*(MIN(MAX((0.1+($E$19/($E$19+((H5+15)*(C20)+2)))+(($E$20-H7+E27)/1000)-(C19)),0.1),1)))*H23))*H24,1)),0)),"Calc. Off"),"Calc. Off")</f>
        <v>8450</v>
      </c>
      <c r="V12" s="29" t="n">
        <f aca="false">IF($C$14="On",IF(C11="On",IF(G2&lt;&gt;"DD","N/A",ROUND(((H4+550+((H4+550)*C22))/(1-C21)/(1-IF(E21="CV",C24,0))/MIN(MAX((0.1+($E$19/($E$19+((H5+28)*(C20)+2)))+(($E$20-H7+E27)/1000)-(C19)),0.1),1))/H17/H19/H20/(IF(E4="On",1+(1-(1-H22)^((E24*(MIN(MAX((0.1+($E$19/($E$19+((H5+28)*(C20)+2)))+(($E$20-H7+E27)/1000)-(C19)),0.1),1)))*H23))*H24,1)),0)),"Calc. Off"),"Calc. Off")</f>
        <v>8792</v>
      </c>
      <c r="W12" s="29" t="n">
        <f aca="false">IF($C$15="On",IF(C11="On",IF(G2&lt;&gt;"DD","N/A",ROUND(((H4+75+550+((H4+75+550)*C22))/(1-C21)/(1-IF(E21="CV",C24,0))/MIN(MAX((0.1+($E$19/($E$19+((H5+35)*(C20)+2)))+(($E$20-H7+E27)/1000)-(C19)),0.1),1))/H17/H19/H20/(IF(E4="On",1+(1-(1-H22)^((E24*(MIN(MAX((0.1+($E$19/($E$19+((H5+35)*(C20)+2)))+(($E$20-H7+E27)/1000)-(C19)),0.1),1)))*H23))*H24,1)),0)),"Calc. Off"),"Calc. Off")</f>
        <v>9238</v>
      </c>
      <c r="X12" s="29" t="n">
        <f aca="false">IF($C16="On",IF(C11="On",IF(G2&lt;&gt;"DD","N/A",ROUND(((H4+60+550+((H4+60+550)*C22))/(1-C21)/(1-IF(E21="CV",C24,0))/MIN(MAX((0.1+($E$19/($E$19+((H5+40)*(C20)+2)))+(($E$20-H7+E27)/1000)-(C19)),0.1),1))/H17/IF($E$3="On",0.97,1)/H19/H20/(IF(E4="On",1+(1-(1-H22)^((E24*(MIN(MAX((0.1+($E$19/($E$19+((H5+40)*(C20)+2)))+(($E$20-H7+E27)/1000)-(C19)),0.1),1)))*H23))*H24,1)),0)),"Calc. Off"),"Calc. Off")</f>
        <v>9602</v>
      </c>
      <c r="Y12" s="12"/>
      <c r="Z12" s="12"/>
      <c r="AA12" s="12"/>
      <c r="AB12" s="12"/>
      <c r="AC12" s="12"/>
      <c r="AD12" s="12"/>
      <c r="AE12" s="12"/>
      <c r="AF12" s="12"/>
    </row>
    <row r="13" customFormat="false" ht="14.4" hidden="false" customHeight="false" outlineLevel="0" collapsed="false">
      <c r="A13" s="12"/>
      <c r="B13" s="17" t="s">
        <v>39</v>
      </c>
      <c r="C13" s="26" t="s">
        <v>27</v>
      </c>
      <c r="D13" s="14" t="s">
        <v>56</v>
      </c>
      <c r="E13" s="18" t="s">
        <v>57</v>
      </c>
      <c r="F13" s="12"/>
      <c r="G13" s="20" t="s">
        <v>50</v>
      </c>
      <c r="H13" s="35"/>
      <c r="I13" s="12"/>
      <c r="J13" s="28" t="s">
        <v>38</v>
      </c>
      <c r="K13" s="29" t="str">
        <f aca="false">IF($C$3="On",IF($C$12="On",IF(G2="DD","N/A",IF(G2="CL","N/A",IF(G2="CA","N/A",IF(G2="BM","N/A",IF(G2="CVL","N/A",IF(G2="AR","N/A",IF(G2="SS","N/A",IF(G2="SSV","N/A",ROUND(((H4+650+(H4+650)*C22)/(1-C21)/(1-IF(E21="CV",C24,0))/MIN(MAX((0.1+($E$19/($E$19+(H5*(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L13" s="29" t="str">
        <f aca="false">IF($C$4="On",IF($C$12="On",IF(G2="DD","N/A",IF(G2="CL","N/A",IF(G2="CA","N/A",IF(G2="BM","N/A",IF(G2="CVL","N/A",IF(G2="AR","N/A",IF(G2="SS","N/A",IF(G2="SSV","N/A",ROUND(((H4+266+650+(H4+650+266)*C22)/(1-C21)/(1-IF(E21="CV",C24,0))/MIN(MAX((0.1+($E$19/($E$19+(H5*(C20)+2)))+(($E$20-H7+E27)/1000)-(C19)),0.1),1))/IF(E3="On",H18,H17)/H19/H20/IF(E3="On",IF(H3="Heavy",IFERROR(IF(INDEX(AmmoBase[Base],MATCH(E22,AmmoBase[Type],0))="AP",0.94,IF(OR(INDEX(AmmoBase[Base],MATCH(E22,AmmoBase[Type],0))="HE",INDEX(AmmoBase[Base],MATCH(E22,AmmoBase[Type],0))="Normal"),0.97,1)),1),1),1)/(IF(E4="On",1+(1-(1-H25)^((E24*(MIN(MAX((0.1+($E$19/($E$19+(H5*(C20)+2)))+(($E$20-H7+E27)/1000)-(C19)),0.1),1)))*H26))*H27,1)),0))))))))),"Calc. Off"),"Calc. Off")</f>
        <v>N/A</v>
      </c>
      <c r="M13" s="29" t="str">
        <f aca="false">IF($C$5="On",IF($C$12="On",IF(G2="DD","N/A",IF(G2="CL","N/A",IF(G2="CA","N/A",IF(G2="BM","N/A",IF(G2="CVL","N/A",IF(G2="AR","N/A",IF(G2="SS","N/A",IF(G2="SSV","N/A",ROUND(((H4+44+650+(H4+650+44)*C22)/(1-C21)/(1-IF(E21="CV",C24,0))/MIN(MAX((0.1+($E$19/($E$19+((H5+17)*(C20)+2)))+(($E$20-H7+E27)/1000)-C19),0.1),1))/IF(E3="On",H18,H17)/H19/H20/IF(E3="On",IF(H3="Heavy",IFERROR(IF(INDEX(AmmoBase[Base],MATCH(E22,AmmoBase[Type],0))="AP",0.94,IF(OR(INDEX(AmmoBase[Base],MATCH(E22,AmmoBase[Type],0))="HE",INDEX(AmmoBase[Base],MATCH(E22,AmmoBase[Type],0))="Normal"),0.97,1)),1),1),1)/(IF(E4="On",1+(1-(1-H22)^((E24*(MIN(MAX((0.1+($E$19/($E$19+((H5+17)*(C20)+2)))+(($E$20-H7+E27)/1000)-(C19)),0.1),1)))*H23))*H24,1)),0))))))))),"Calc. Off"),"Calc. Off")</f>
        <v>N/A</v>
      </c>
      <c r="N13" s="29" t="str">
        <f aca="false">IF($C$6="On",IF($C$12="On",IF(G2="DD","N/A",IF(G2="CL","N/A",IF(G2="CA","N/A",IF(G2="BM","N/A",IF(G2="CVL","N/A",IF(G2="AR","N/A",IF(G2="SS","N/A",IF(G2="SSV","N/A",ROUND(((H4+100+650+(H4+650+100)*C22)/(1-C21)/(1-IF(E21="CV",C24,0))/MIN(MAX((0.1+($E$19/($E$19+((H5+18)*(C20)+2)))+(($E$20-H7+E27)/1000)-C19),0.1),1))/IF(E3="On",H18,H17)/H19/H20/IF(E3="On",IF(H3="Heavy",IFERROR(IF(INDEX(AmmoBase[Base],MATCH(E22,AmmoBase[Type],0))="AP",0.94,IF(OR(INDEX(AmmoBase[Base],MATCH(E22,AmmoBase[Type],0))="HE",INDEX(AmmoBase[Base],MATCH(E22,AmmoBase[Type],0))="Normal"),0.97,1)),1),1),1)/(IF(E4="On",1+(1-(1-H22)^((E24*(MIN(MAX((0.1+($E$19/($E$19+((H5+18)*(C20)+2)))+(($E$20-H7+E27)/1000)-(C19)),0.1),1)))*H23))*H24,1)),0))))))))),"Calc. Off"),"Calc. Off")</f>
        <v>N/A</v>
      </c>
      <c r="O13" s="29" t="str">
        <f aca="false">IF($C$12="On",IF($C$7="On",IF(G2="DD","N/A",IF(G2="CL","N/A",IF(G2="CA","N/A",IF(G2="BM","N/A",IF(G2="CVL","N/A",IF(G2="AR","N/A",IF(G2="SS","N/A",IF(G2="SSV","N/A",ROUND(((H4+245+650+(H4+245+650)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P13" s="29" t="str">
        <f aca="false">IF($C$8="On",IF($C$12="On",IF(G2="DD","N/A",IF(G2="CL","N/A",IF(G2="CA","N/A",IF(G2="BM","N/A",IF(G2="CVL","N/A",IF(G2="AR","N/A",IF(G2="SS","N/A",IF(G2="SSV","N/A",ROUND(((H4+350+650+(H4+350+650)*C22)/(1-C21)/(1-IF(E21="CV",C24,0))/MIN(MAX((0.1+($E$19/($E$19+((H5+5)*(C20)+2)))+(($E$20-H7+E27)/1000)-C19),0.1),1))/IF(E3="On",H18,H17)/H19/H20/IF(E3="On",IF(H3="Heavy",IFERROR(IF(INDEX(AmmoBase[Base],MATCH(E22,AmmoBase[Type],0))="AP",0.94,IF(OR(INDEX(AmmoBase[Base],MATCH(E22,AmmoBase[Type],0))="HE",INDEX(AmmoBase[Base],MATCH(E22,AmmoBase[Type],0))="Normal"),0.97,1)),1),1),1)/(IF(E4="On",1+(1-(1-H22)^((E24*(MIN(MAX((0.1+($E$19/($E$19+((H5+5)*(C20)+2)))+(($E$20-H7+E27)/1000)-(C19)),0.1),1)))*H23))*H24,1)),0))))))))),"Calc. Off"),"Calc. Off")</f>
        <v>N/A</v>
      </c>
      <c r="Q13" s="29" t="str">
        <f aca="false">IF($C$12="On",IF($C$9="On",IF(G2="DD","N/A",IF(G2="CL","N/A",IF(G2="CA","N/A",IF(G2="BM","N/A",IF(G2="CVL","N/A",IF(G2="AR","N/A",IF(G2="SS","N/A",IF(G2="SSV","N/A",ROUND(((H4+650+350+(H4+650+350)*C22)/(1-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R13" s="29" t="str">
        <f aca="false">IF($C$10="On",IF($C$12="On",IF(G2="DD","N/A",IF(G2="CL","N/A",IF(G2="CA","N/A",IF(G2="BM","N/A",IF(G2="CVL","N/A",IF(G2="AR","N/A",IF(G2="SS","N/A",IF(G2="SSV","N/A",ROUND(((H4+650+500+(H4+650+500)*C22+IF($E$3="On",ROUNDDOWN($E$26/15,0)*0.01*(H4+650+500),0))/(1-C21)/(1-IF(E21="CV",C24,0))/MIN(MAX((0.1+($E$19/($E$19+((H5+0)*(C20)+2)))+(($E$20-H7+E27)/1000)-C19),0.1),1))/IF(E3="On",H18,H17)/H19/H20/IF(E3="On",IF(H3="Heavy",IFERROR(IF(INDEX(AmmoBase[Base],MATCH(E22,AmmoBase[Type],0))="AP",0.94,IF(OR(INDEX(AmmoBase[Base],MATCH(E22,AmmoBase[Type],0))="HE",INDEX(AmmoBase[Base],MATCH(E22,AmmoBase[Type],0))="Normal"),0.97,1)),1),1),1)/(IF(E4="On",1+(1-(1-H22)^((E24*(MIN(MAX((0.1+($E$19/($E$19+(H5*(C20)+2)))+(($E$20-H7+E27)/1000)-(C19)),0.1),1)))*H23))*H24,1)),0))))))))),"Calc. Off"),"Calc. Off")</f>
        <v>N/A</v>
      </c>
      <c r="S13" s="29" t="str">
        <f aca="false">IF($C$12="On",IF(C11="On",IF(G2="DD","N/A",IF(G2="CL","N/A",IF(G2="CA","N/A",IF(G2="BM","N/A",IF(G2="CVL","N/A",IF(G2="AR","N/A",IF(G2="SS","N/A",IF(G2="SSV","N/A",IF(G2&lt;&gt;"DD","N/A",ROUND(((H4+650+550+((H4+650+550)*C22))/(1-C21)/(1-IF(E21="CV",C24,0))/MIN(MAX((0.1+($E$19/($E$19+(H5*(C20)+2)))+(($E$20-H7+E27)/1000)-(C19)),0.1),1))/H18/H19/H20/(IF(E4="On",1+(1-(1-H22)^((E24*(MIN(MAX((0.1+($E$19/($E$19+(H5*(C20)+2)))+(($E$20-H7+E27)/1000)-(C19)),0.1),1)))*H23))*H24,1)),0)))))))))),"Calc. Off"),"Calc. Off")</f>
        <v>N/A</v>
      </c>
      <c r="T13" s="29" t="s">
        <v>58</v>
      </c>
      <c r="U13" s="29" t="str">
        <f aca="false">IF($C$13="On",IF($C$12="On",IF(G2="DD","N/A",IF(G2="CL","N/A",IF(G2="CA","N/A",IF(G2="BM","N/A",IF(G2="CVL","N/A",IF(G2="AR","N/A",IF(G2="SS","N/A",IF(G2="SSV","N/A",ROUND(((H4+650+(H4+650)*C22)/(1-C21)/(1-IF(E21="CV",C24,0))/MIN(MAX((0.1+($E$19/($E$19+((H5+15)*(C20)+2)))+(($E$20-H7+E27)/1000)-C19),0.1),1))/IF(E3="On",H18,H17)/H19/H20/IF(E3="On",IF(H3="Heavy",IFERROR(IF(INDEX(AmmoBase[Base],MATCH(E22,AmmoBase[Type],0))="AP",0.94,IF(OR(INDEX(AmmoBase[Base],MATCH(E22,AmmoBase[Type],0))="HE",INDEX(AmmoBase[Base],MATCH(E22,AmmoBase[Type],0))="Normal"),0.97,1)),1),1),1)/(IF(E4="On",1+(1-(1-H22)^((E24*(MIN(MAX((0.1+($E$19/($E$19+((H5+15)*(C20)+2)))+(($E$20-H7+E27)/1000)-(C19)),0.1),1)))*H23))*H24,1)),0))))))))),"Calc. Off"),"Calc. Off")</f>
        <v>N/A</v>
      </c>
      <c r="V13" s="29" t="str">
        <f aca="false">IF($C$14="On",IF($C$12="On",IF(G2="DD","N/A",IF(G2="CL","N/A",IF(G2="CA","N/A",IF(G2="BM","N/A",IF(G2="CVL","N/A",IF(G2="AR","N/A",IF(G2="SS","N/A",IF(G2="SSV","N/A",ROUND(((H4+650+(H4+650)*C22)/(1-C21)/(1-IF(E21="CV",C24,0))/MIN(MAX((0.1+($E$19/($E$19+((H5+28)*(C20)+2)))+(($E$20-H7+E27)/1000)-C19),0.1),1))/IF(E3="On",H18,H17)/H19/H20/IF(E3="On",IF(H3="Heavy",IFERROR(IF(INDEX(AmmoBase[Base],MATCH(E22,AmmoBase[Type],0))="AP",0.94,IF(OR(INDEX(AmmoBase[Base],MATCH(E22,AmmoBase[Type],0))="HE",INDEX(AmmoBase[Base],MATCH(E22,AmmoBase[Type],0))="Normal"),0.97,1)),1),1),1)/(IF(E4="On",1+(1-(1-H22)^((E24*(MIN(MAX((0.1+($E$19/($E$19+((H5+28)*(C20)+2)))+(($E$20-H7+E27)/1000)-(C19)),0.1),1)))*H23))*H24,1)),0))))))))),"Calc. Off"),"Calc. Off")</f>
        <v>N/A</v>
      </c>
      <c r="W13" s="29" t="str">
        <f aca="false">IF($C$15="On",IF($C$12="On",IF(G2="DD","N/A",IF(G2="CL","N/A",IF(G2="CA","N/A",IF(G2="BM","N/A",IF(G2="CVL","N/A",IF(G2="AR","N/A",IF(G2="SS","N/A",IF(G2="SSV","N/A",ROUND(((H4+650+75+(H4+650+75)*C22)/(1-C21)/(1-IF(E21="CV",C24,0))/MIN(MAX((0.1+($E$19/($E$19+((H5+35)*(C20)+2)))+(($E$20-H7+E27)/1000)-C19),0.1),1))/IF(E3="On",H18,H17)/H19/H20/IF(E3="On",IF(H3="Heavy",IFERROR(IF(INDEX(AmmoBase[Base],MATCH(E22,AmmoBase[Type],0))="AP",0.94,IF(OR(INDEX(AmmoBase[Base],MATCH(E22,AmmoBase[Type],0))="HE",INDEX(AmmoBase[Base],MATCH(E22,AmmoBase[Type],0))="Normal"),0.97,1)),1),1),1)/(IF(E4="On",1+(1-(1-H22)^((E24*(MIN(MAX((0.1+($E$19/($E$19+((H5+35)*(C20)+2)))+(($E$20-H7+E27)/1000)-(C19)),0.1),1)))*H23))*H24,1)),0))))))))),"Calc. Off"),"Calc. Off")</f>
        <v>N/A</v>
      </c>
      <c r="X13" s="29" t="str">
        <f aca="false">IF($C$16="On",IF($C$12="On",IF(G2="DD","N/A",IF(G2="CL","N/A",IF(G2="CA","N/A",IF(G2="BM","N/A",IF(G2="CVL","N/A",IF(G2="AR","N/A",IF(G2="SS","N/A",IF(G2="SSV","N/A",ROUND((((H4+650+60+(H4+650+60)*C22)/(1-C21)/(1-IF(E21="CV",C24,0))/MIN(MAX((0.1+($E$19/($E$19+((H5+40)*(C20)+2)))+(($E$20-H7+E27)/1000)-C19),0.1),1))/IF(E3="On",H18,H17))/IF($E$3="On",0.97,1)/H19/H20/IF(E3="On",IF(H3="Heavy",IFERROR(IF(INDEX(AmmoBase[Base],MATCH(E22,AmmoBase[Type],0))="AP",0.94,IF(OR(INDEX(AmmoBase[Base],MATCH(E22,AmmoBase[Type],0))="HE",INDEX(AmmoBase[Base],MATCH(E22,AmmoBase[Type],0))="Normal"),0.97,1)),1),1),1)/(IF(E4="On",1+(1-(1-H22)^((E24*(MIN(MAX((0.1+($E$19/($E$19+((H5+40)*(C20)+2)))+(($E$20-H7+E27)/1000)-(C19)),0.1),1)))*H23))*H24,1)),0))))))))),"Calc. Off"),"Calc. Off")</f>
        <v>N/A</v>
      </c>
      <c r="Y13" s="12"/>
      <c r="Z13" s="12"/>
      <c r="AA13" s="12"/>
      <c r="AB13" s="12"/>
      <c r="AC13" s="12"/>
      <c r="AD13" s="12"/>
      <c r="AE13" s="12"/>
      <c r="AF13" s="12"/>
    </row>
    <row r="14" customFormat="false" ht="14.4" hidden="false" customHeight="false" outlineLevel="0" collapsed="false">
      <c r="A14" s="12"/>
      <c r="B14" s="17" t="s">
        <v>40</v>
      </c>
      <c r="C14" s="26" t="s">
        <v>27</v>
      </c>
      <c r="D14" s="30"/>
      <c r="E14" s="30"/>
      <c r="F14" s="12"/>
      <c r="G14" s="20" t="s">
        <v>55</v>
      </c>
      <c r="H14" s="35"/>
      <c r="I14" s="12"/>
      <c r="J14" s="28" t="s">
        <v>39</v>
      </c>
      <c r="K14" s="29" t="n">
        <f aca="false">IF($C$13="On",IF($C$3="On",ROUND(((H4+H4*C22)/(1-C21)/(1-IF(E21="CV",C24,0))/MIN(MAX((0.1+($E$19/($E$19+((H5+15)*(C20)+2)))+(($E$20-H7+E27)/1000)-(C19)),0.1),1))/H17/H19/H20/(IF(E4="On",1+(1-(1-H22)^((E24*(MIN(MAX((0.1+($E$19/($E$19+((H5+15)*(C20)+2)))+(($E$20-H7+E27)/1000)-(C19)),0.1),1)))*H23))*H24,1)),0),"Calc. Off"),"Calc. Off")</f>
        <v>6613</v>
      </c>
      <c r="L14" s="29" t="n">
        <f aca="false">IF($C$13="On",IF($C$4="On",ROUND(((H4+266+(H4+266)*C22)/(1-C21)/(1-IF(E21="CV",C24,0))/MIN(MAX((0.1+($E$19/($E$19+((H5+15)*(C20)+2)))+(($E$20-H7+E27)/1000)-(C19)),0.1),1))/H17/H19/H20/(IF(E4="On",1+(1-(1-H25)^((E24*(MIN(MAX((0.1+($E$19/($E$19+((H5+15)*(C20)+2)))+(($E$20-H7+E27)/1000)-(C19)),0.1),1)))*H26))*H27,1)),0),"Calc. Off"),"Calc. Off")</f>
        <v>7502</v>
      </c>
      <c r="M14" s="29" t="n">
        <f aca="false">IF($C$5="On",IF($C$13="On",ROUND(((H4+44+(H4+44)*C22)/(1-C21)/(1-IF(E21="CV",C24,0))/MIN(MAX((0.1+($E$19/($E$19+((H5+17+15)*(C20)+2)))+(($E$20-H7+E27)/1000)-C19),0.1),1))/H17/H19/H20/(IF(E4="On",1+(1-(1-H22)^((E24*(MIN(MAX((0.1+($E$19/($E$19+((H5+17+15)*(C20)+2)))+(($E$20-H7+E27)/1000)-(C19)),0.1),1)))*H23))*H24,1)),0),"Calc. Off"),"Calc. Off")</f>
        <v>7116</v>
      </c>
      <c r="N14" s="29" t="n">
        <f aca="false">IF($C$6="On",IF($C$13="On",ROUND(((H4+100+(H4+100)*C22)/(1-C21)/(1-IF(E21="CV",C24,0))/MIN(MAX((0.1+($E$19/($E$19+((H5+18+15)*(C20)+2)))+(($E$20-H7+E27)/1000)-C19),0.1),1))/H17/H19/H20/(IF(E4="On",1+(1-(1-H22)^((E24*(MIN(MAX((0.1+($E$19/($E$19+((H5+18+15)*(C20)+2)))+(($E$20-H7+E27)/1000)-(C19)),0.1),1)))*H23))*H24,1)),0),"Calc. Off"),"Calc. Off")</f>
        <v>7334</v>
      </c>
      <c r="O14" s="29" t="n">
        <f aca="false">IF($C$13="On",IF($C$7="On",ROUND(((H4+245+(H4+245)*C22)/(1-C21)/(1-IF(E21="CV",C24,0))/MIN(MAX((0.1+($E$19/($E$19+((H5+15)*(C20)+2)))+(($E$20-H7+E27)/1000)-C19),0.1),1))/H17/H19/H20/(IF(E4="On",1+(1-(1-H22)^((E24*(MIN(MAX((0.1+($E$19/($E$19+((H5+15)*(C20)+2)))+(($E$20-H7+E27)/1000)-(C19)),0.1),1)))*H23))*H24,1)),0),"Calc. Off"),"Calc. Off")</f>
        <v>7432</v>
      </c>
      <c r="P14" s="29" t="n">
        <f aca="false">IF($C$8="On",IF($C$13="On",ROUND(((H4+350+(H4+350)*C22)/(1-C21)/(1-IF(E21="CV",C24,0))/MIN(MAX((0.1+($E$19/($E$19+((H5+5+15)*(C20)+2)))+(($E$20-H7+E27)/1000)-C19),0.1),1))/H17/H19/H20/(IF(E4="On",1+(1-(1-H22)^((E24*(MIN(MAX((0.1+($E$19/($E$19+((H5+5+15)*(C20)+2)))+(($E$20-H7+E27)/1000)-(C19)),0.1),1)))*H23))*H24,1)),0),"Calc. Off"),"Calc. Off")</f>
        <v>7905</v>
      </c>
      <c r="Q14" s="29" t="str">
        <f aca="false">IF($C$13="On",IF($C$9="On",IF(G2="DD","N/A",IF(G2="SS","N/A",IF(G2="SSV","N/A",ROUND(((H4+350+(H4+350)*C22)/(1-C21)/(1-IF(E21="CV",C24,0))/MIN(MAX((0.1+($E$19/($E$19+((H5+15)*(C20)+2)))+(($E$20-H7+E27)/1000)-C19),0.1),1))/H17/IF($E$3="On",IF(E22="Torpedo",0.7,1),1)/H19/H20/(IF(E4="On",1+(1-(1-H22)^((E24*(MIN(MAX((0.1+($E$19/($E$19+((H5+15)*(C20)+2)))+(($E$20-H7+E27)/1000)-(C19)),0.1),1)))*H23))*H24,1)),0)))),"Calc. Off"),"Calc. Off")</f>
        <v>N/A</v>
      </c>
      <c r="R14" s="29" t="n">
        <f aca="false">IF($C$13="On",IF($C$10="On",ROUND(((H4+500+(H4+500)*C22+IF($E$3="On",ROUNDDOWN($E$26/15,0)*0.01*(H4+500),0))/(1-C21)/(1-IF(E21="CV",C24,0))/MIN(MAX((0.1+($E$19/($E$19+((H5+15)*(C20)+2)))+(($E$20-H7+E27)/1000)-C19),0.1),1))/H17/H19/H20/(IF(E4="On",1+(1-(1-H22)^((E24*(MIN(MAX((0.1+($E$19/($E$19+((H5+15)*(C20)+2)))+(($E$20-H7+E27)/1000)-(C19)),0.1),1)))*H23))*H24,1)),0),"Calc. Off"),"Calc. Off")</f>
        <v>8615</v>
      </c>
      <c r="S14" s="29" t="n">
        <f aca="false">IF($C$13="On",IF(C11="On",IF(G2&lt;&gt;"DD","N/A",ROUND(((H4+550+((H4+550)*C22))/(1-C21)/(1-IF(E21="CV",C24,0))/MIN(MAX((0.1+($E$19/($E$19+((H5+15)*(C20)+2)))+(($E$20-H7+E27)/1000)-(C19)),0.1),1))/H17/H19/H20/(IF(E4="On",1+(1-(1-H22)^((E24*(MIN(MAX((0.1+($E$19/($E$19+((H5+15)*(C20)+2)))+(($E$20-H7+E27)/1000)-(C19)),0.1),1)))*H23))*H24,1)),0)),"Calc. Off"),"Calc. Off")</f>
        <v>8450</v>
      </c>
      <c r="T14" s="29" t="str">
        <f aca="false">IF($C$13="On",IF($C$12="On",IF(G2="DD","N/A",IF(G2="CL","N/A",IF(G2="CA","N/A",IF(G2="BM","N/A",IF(G2="CVL","N/A",IF(G2="AR","N/A",IF(G2="SS","N/A",IF(G2="SSV","N/A",ROUND(((H4+650+(H4+650)*C22)/(1-C21)/(1-IF(E21="CV",C24,0))/MIN(MAX((0.1+($E$19/($E$19+((H5+15)*(C20)+2)))+(($E$20-H7+E27)/1000)-C19),0.1),1))/IF(E3="On",H18,H17)/H19/H20/IF(E3="On",IF(H3="Heavy",IFERROR(IF(INDEX(AmmoBase[Base],MATCH(E22,AmmoBase[Type],0))="AP",0.94,IF(OR(INDEX(AmmoBase[Base],MATCH(E22,AmmoBase[Type],0))="HE",INDEX(AmmoBase[Base],MATCH(E22,AmmoBase[Type],0))="Normal"),0.97,1)),1),1),1)/(IF(E4="On",1+(1-(1-H22)^((E24*(MIN(MAX((0.1+($E$19/($E$19+((H5+15)*(C20)+2)))+(($E$20-H7+E27)/1000)-(C19)),0.1),1)))*H23))*H24,1)),0))))))))),"Calc. Off"),"Calc. Off")</f>
        <v>N/A</v>
      </c>
      <c r="U14" s="29" t="n">
        <f aca="false">IF($C$13="On",ROUND(((H4+(H4)*C22)/(1-C21)/(1-IF(E21="CV",C24,0))/MIN(MAX((0.1+($E$19/($E$19+((H5+15+15)*(C20)+2)))+(($E$20-H7+E27)/1000)-C19),0.1),1))/H17/H19/H20/(IF(E4="On",1+(1-(1-H22)^((E24*(MIN(MAX((0.1+($E$19/($E$19+((H5+15+15)*(C20)+2)))+(($E$20-H7+E27)/1000)-(C19)),0.1),1)))*H23))*H24,1)),0),"Calc. Off")</f>
        <v>6921</v>
      </c>
      <c r="V14" s="29" t="n">
        <f aca="false">IF($C$13="On",IF($C$14="On",ROUND(((H4+(H4)*C22)/(1-C21)/(1-IF(E21="CV",C24,0))/MIN(MAX((0.1+($E$19/($E$19+((H5+15+28)*(C20)+2)))+(($E$20-H7+E27)/1000)-C19),0.1),1))/H17/H19/H20/(IF(E4="On",1+(1-(1-H22)^((E24*(MIN(MAX((0.1+($E$19/($E$19+((H5+15+28)*(C20)+2)))+(($E$20-H7+E27)/1000)-(C19)),0.1),1)))*H23))*H24,1)),0),"Calc. Off"),"Calc. Off")</f>
        <v>7179</v>
      </c>
      <c r="W14" s="29" t="n">
        <f aca="false">IF($C$13="On",IF($C$15="On",ROUND(((H4+75+(H4+75)*C22)/(1-C21)/(1-IF(E21="CV",C24,0))/MIN(MAX((0.1+($E$19/($E$19+((H5+15+35)*(C20)+2)))+(($E$20-H7+E27)/1000)-C19),0.1),1))/H17/H19/H20/(IF(E4="On",1+(1-(1-H22)^((E24*(MIN(MAX((0.1+($E$19/($E$19+((H5+15+35)*(C20)+2)))+(($E$20-H7+E27)/1000)-(C19)),0.1),1)))*H23))*H24,1)),0),"Calc. Off"),"Calc. Off")</f>
        <v>7592</v>
      </c>
      <c r="X14" s="29" t="n">
        <f aca="false">IF($C$13="On",IF($C$16="On",ROUND((((H4+60+(H4+60)*C22)/(1-C21)/(1-IF(E21="CV",C24,0))/MIN(MAX((0.1+($E$19/($E$19+((H5+15+40)*(C20)+2)))+(($E$20-H7+E27)/1000)-C19),0.1),1))/H17)/IF($E$3="On",0.97,1)/H19/H20/(IF(E4="On",1+(1-(1-H22)^((E24*(MIN(MAX((0.1+($E$19/($E$19+((H5+15+40)*(C20)+2)))+(($E$20-H7+E27)/1000)-(C19)),0.1),1)))*H23))*H24,1)),0),"Calc. Off"),"Calc. Off")</f>
        <v>7871</v>
      </c>
      <c r="Y14" s="12"/>
      <c r="Z14" s="12"/>
      <c r="AA14" s="12"/>
      <c r="AB14" s="12"/>
      <c r="AC14" s="12"/>
      <c r="AD14" s="12"/>
      <c r="AE14" s="12"/>
      <c r="AF14" s="12"/>
    </row>
    <row r="15" customFormat="false" ht="14.4" hidden="false" customHeight="false" outlineLevel="0" collapsed="false">
      <c r="A15" s="12"/>
      <c r="B15" s="17" t="s">
        <v>41</v>
      </c>
      <c r="C15" s="26" t="s">
        <v>27</v>
      </c>
      <c r="D15" s="30"/>
      <c r="E15" s="30"/>
      <c r="F15" s="12"/>
      <c r="G15" s="12"/>
      <c r="H15" s="12"/>
      <c r="I15" s="12"/>
      <c r="J15" s="28" t="s">
        <v>40</v>
      </c>
      <c r="K15" s="29" t="n">
        <f aca="false">IF($C$14="On",IF($C$3="On",ROUND(((H4+H4*C22)/(1-C21)/(1-IF(E21="CV",C24,0))/MIN(MAX((0.1+($E$19/($E$19+((H5+28)*(C20)+2)))+(($E$20-H7+E27)/1000)-(C19)),0.1),1))/H17/H19/H20/(IF(E4="On",1+(1-(1-H22)^((E24*(MIN(MAX((0.1+($E$19/($E$19+((H5+28)*(C20)+2)))+(($E$20-H7+E27)/1000)-(C19)),0.1),1)))*H23))*H24,1)),0),"Calc. Off"),"Calc. Off")</f>
        <v>6881</v>
      </c>
      <c r="L15" s="29" t="n">
        <f aca="false">IF($C$14="On",IF($C$4="On",ROUND(((H4+266+(H4+266)*C22)/(1-C21)/(1-IF(E21="CV",C24,0))/MIN(MAX((0.1+($E$19/($E$19+((H5+28)*(C20)+2)))+(($E$20-H7+E27)/1000)-(C19)),0.1),1))/H17/H19/H20/(IF(E4="On",1+(1-(1-H25)^((E24*(MIN(MAX((0.1+($E$19/($E$19+((H5+28)*(C20)+2)))+(($E$20-H7+E27)/1000)-(C19)),0.1),1)))*H26))*H27,1)),0),"Calc. Off"),"Calc. Off")</f>
        <v>7805</v>
      </c>
      <c r="M15" s="29" t="n">
        <f aca="false">IF($C$5="On",IF($C$14="On",ROUND(((H4+44+(H4+44)*C22)/(1-C21)/(1-IF(E21="CV",C24,0))/MIN(MAX((0.1+($E$19/($E$19+((H5+17+28)*(C20)+2)))+(($E$20-H7+E27)/1000)-C19),0.1),1))/H17/H19/H20/(IF(E4="On",1+(1-(1-H22)^((E24*(MIN(MAX((0.1+($E$19/($E$19+((H5+17+28)*(C20)+2)))+(($E$20-H7+E27)/1000)-(C19)),0.1),1)))*H23))*H24,1)),0),"Calc. Off"),"Calc. Off")</f>
        <v>7379</v>
      </c>
      <c r="N15" s="29" t="n">
        <f aca="false">IF($C$6="On",IF($C$14="On",ROUND(((H4+100+(H4+100)*C22)/(1-C21)/(1-IF(E21="CV",C24,0))/MIN(MAX((0.1+($E$19/($E$19+((H5+18+28)*(C20)+2)))+(($E$20-H7+E27)/1000)-C19),0.1),1))/H17/H19/H20/(IF(E4="On",1+(1-(1-H22)^((E24*(MIN(MAX((0.1+($E$19/($E$19+((H5+18+28)*(C20)+2)))+(($E$20-H7+E27)/1000)-(C19)),0.1),1)))*H23))*H24,1)),0),"Calc. Off"),"Calc. Off")</f>
        <v>7603</v>
      </c>
      <c r="O15" s="29" t="n">
        <f aca="false">IF($C$14="On",IF($C$7="On",ROUND(((H4+245+(H4+245)*C22)/(1-C21)/(1-IF(E21="CV",C24,0))/MIN(MAX((0.1+($E$19/($E$19+((H5+28)*(C20)+2)))+(($E$20-H7+E27)/1000)-C19),0.1),1))/H17/H19/H20/(IF(E4="On",1+(1-(1-H22)^((E24*(MIN(MAX((0.1+($E$19/($E$19+((H5+28)*(C20)+2)))+(($E$20-H7+E27)/1000)-(C19)),0.1),1)))*H23))*H24,1)),0),"Calc. Off"),"Calc. Off")</f>
        <v>7732</v>
      </c>
      <c r="P15" s="29" t="n">
        <f aca="false">IF($C$8="On",IF($C$14="On",ROUND(((H4+350+(H4+350)*C22)/(1-C21)/(1-IF(E21="CV",C24,0))/MIN(MAX((0.1+($E$19/($E$19+((H5+5+28)*(C20)+2)))+(($E$20-H7+E27)/1000)-C19),0.1),1))/H17/H19/H20/(IF(E4="On",1+(1-(1-H22)^((E24*(MIN(MAX((0.1+($E$19/($E$19+((H5+5+28)*(C20)+2)))+(($E$20-H7+E27)/1000)-(C19)),0.1),1)))*H23))*H24,1)),0),"Calc. Off"),"Calc. Off")</f>
        <v>8215</v>
      </c>
      <c r="Q15" s="29" t="str">
        <f aca="false">IF($C$14="On",IF($C$9="On",IF(G2="DD","N/A",IF(G2="SS","N/A",IF(G2="SSV","N/A",ROUND(((H4+350+(H4+350)*C22)/(1-C21)/(1-IF(E21="CV",C24,0))/MIN(MAX((0.1+($E$19/($E$19+((H5+28)*(C20)+2)))+(($E$20-H7+E27)/1000)-C19),0.1),1))/H17/IF($E$3="On",IF(E22="Torpedo",0.7,1),1)/H19/H20/(IF(E4="On",1+(1-(1-H22)^((E24*(MIN(MAX((0.1+($E$19/($E$19+((H5+28)*(C20)+2)))+(($E$20-H7+E27)/1000)-(C19)),0.1),1)))*H23))*H24,1)),0)))),"Calc. Off"),"Calc. Off")</f>
        <v>N/A</v>
      </c>
      <c r="R15" s="29" t="n">
        <f aca="false">IF($C$14="On",IF($C$10="On",ROUND(((H4+500+(H4+500)*C22+IF($E$3="On",ROUNDDOWN($E$26/15,0)*0.01*(H4+500),0))/(1-C21)/(1-IF(E21="CV",C24,0))/MIN(MAX((0.1+($E$19/($E$19+((H5+28)*(C20)+2)))+(($E$20-H7+E27)/1000)-C19),0.1),1))/H17/H19/H20/(IF(E4="On",1+(1-(1-H22)^((E24*(MIN(MAX((0.1+($E$19/($E$19+((H5+28)*(C20)+2)))+(($E$20-H7+E27)/1000)-(C19)),0.1),1)))*H23))*H24,1)),0),"Calc. Off"),"Calc. Off")</f>
        <v>8963</v>
      </c>
      <c r="S15" s="29" t="n">
        <f aca="false">IF($C$14="On",IF(C11="On",IF(G2&lt;&gt;"DD","N/A",ROUND(((H4+550+((H4+550)*C22))/(1-C21)/(1-IF(E21="CV",C24,0))/MIN(MAX((0.1+($E$19/($E$19+((H5+28)*(C20)+2)))+(($E$20-H7+E27)/1000)-(C19)),0.1),1))/H17/H19/H20/(IF(E4="On",1+(1-(1-H22)^((E24*(MIN(MAX((0.1+($E$19/($E$19+((H5+28)*(C20)+2)))+(($E$20-H7+E27)/1000)-(C19)),0.1),1)))*H23))*H24,1)),0)),"Calc. Off"),"Calc. Off")</f>
        <v>8792</v>
      </c>
      <c r="T15" s="29" t="str">
        <f aca="false">IF($C$14="On",IF($C$12="On",IF(G2="DD","N/A",IF(G2="CL","N/A",IF(G2="CA","N/A",IF(G2="BM","N/A",IF(G2="CVL","N/A",IF(G2="AR","N/A",IF(G2="SS","N/A",IF(G2="SSV","N/A",ROUND(((H4+650+(H4+650)*C22)/(1-C21)/(1-IF(E21="CV",C24,0))/MIN(MAX((0.1+($E$19/($E$19+((H5+28)*(C20)+2)))+(($E$20-H7+E27)/1000)-C19),0.1),1))/IF(E3="On",H18,H17)/H19/H20/IF(E3="On",IF(H3="Heavy",IFERROR(IF(INDEX(AmmoBase[Base],MATCH(E22,AmmoBase[Type],0))="AP",0.94,IF(OR(INDEX(AmmoBase[Base],MATCH(E22,AmmoBase[Type],0))="HE",INDEX(AmmoBase[Base],MATCH(E22,AmmoBase[Type],0))="Normal"),0.97,1)),1),1),1)/(IF(E4="On",1+(1-(1-H22)^((E24*(MIN(MAX((0.1+($E$19/($E$19+((H5+28)*(C20)+2)))+(($E$20-H7+E27)/1000)-(C19)),0.1),1)))*H23))*H24,1)),0))))))))),"Calc. Off"),"Calc. Off")</f>
        <v>N/A</v>
      </c>
      <c r="U15" s="29" t="n">
        <f aca="false">IF($C$13="On",IF($C$14="On",ROUND(((H4+(H4)*C22)/(1-C21)/(1-IF(E21="CV",C24,0))/MIN(MAX((0.1+($E$19/($E$19+((H5+15+28)*(C20)+2)))+(($E$20-H7+E27)/1000)-C19),0.1),1))/H17/H19/H20/(IF(E4="On",1+(1-(1-H22)^((E24*(MIN(MAX((0.1+($E$19/($E$19+((H5+15+28)*(C20)+2)))+(($E$20-H7+E27)/1000)-(C19)),0.1),1)))*H23))*H24,1)),0),"Calc. Off"),"Calc. Off")</f>
        <v>7179</v>
      </c>
      <c r="V15" s="29" t="n">
        <f aca="false">IF($C$14="On",ROUND(((H4+(H4)*C22)/(1-C21)/(1-IF(E21="CV",C24,0))/MIN(MAX((0.1+($E$19/($E$19+((H5+28+28)*(C20)+2)))+(($E$20-H7+E27)/1000)-C19),0.1),1))/H17/H19/H20/(IF(E4="On",1+(1-(1-H22)^((E24*(MIN(MAX((0.1+($E$19/($E$19+((H5+28+28)*(C20)+2)))+(($E$20-H7+E27)/1000)-(C19)),0.1),1)))*H23))*H24,1)),0),"Calc. Off")</f>
        <v>7430</v>
      </c>
      <c r="W15" s="29" t="n">
        <f aca="false">IF($C$14="On",IF($C$15="On",ROUND(((H4+75+(H4+75)*C22)/(1-C21)/(1-IF(E21="CV",C24,0))/MIN(MAX((0.1+($E$19/($E$19+((H5+28+35)*(C20)+2)))+(($E$20-H7+E27)/1000)-C19),0.1),1))/H17/H19/H20/(IF(E4="On",1+(1-(1-H22)^((E24*(MIN(MAX((0.1+($E$19/($E$19+((H5+28+35)*(C20)+2)))+(($E$20-H7+E27)/1000)-(C19)),0.1),1)))*H23))*H24,1)),0),"Calc. Off"),"Calc. Off")</f>
        <v>7848</v>
      </c>
      <c r="X15" s="29" t="n">
        <f aca="false">IF($C$14="On",IF($C$16="On",ROUND((((H4+60+(H4+60)*C22)/(1-C21)/(1-IF(E21="CV",C24,0))/MIN(MAX((0.1+($E$19/($E$19+((H5+28+40)*(C20)+2)))+(($E$20-H7+E27)/1000)-C19),0.1),1))/H17)/IF($E$3="On",0.97,1)/H19/H20/(IF(E4="On",1+(1-(1-H22)^((E24*(MIN(MAX((0.1+($E$19/($E$19+((H5+28+40)*(C20)+2)))+(($E$20-H7+E27)/1000)-(C19)),0.1),1)))*H23))*H24,1)),0),"Calc. Off"),"Calc. Off")</f>
        <v>8130</v>
      </c>
      <c r="Y15" s="12"/>
      <c r="Z15" s="12"/>
      <c r="AA15" s="12"/>
      <c r="AB15" s="12"/>
      <c r="AC15" s="12"/>
      <c r="AD15" s="12"/>
      <c r="AE15" s="12"/>
      <c r="AF15" s="12"/>
    </row>
    <row r="16" customFormat="false" ht="14.4" hidden="false" customHeight="false" outlineLevel="0" collapsed="false">
      <c r="A16" s="12"/>
      <c r="B16" s="17" t="s">
        <v>42</v>
      </c>
      <c r="C16" s="26" t="s">
        <v>27</v>
      </c>
      <c r="D16" s="30"/>
      <c r="E16" s="30"/>
      <c r="F16" s="12"/>
      <c r="G16" s="34" t="s">
        <v>59</v>
      </c>
      <c r="H16" s="34"/>
      <c r="I16" s="12"/>
      <c r="J16" s="28" t="s">
        <v>41</v>
      </c>
      <c r="K16" s="29" t="n">
        <f aca="false">IF($C$15="On",IF($C$3="On",ROUND(((H4+75+(H4+75)*C22)/(1-C21)/(1-IF(E21="CV",C24,0))/MIN(MAX((0.1+($E$19/($E$19+((H5+35)*(C20)+2)))+(($E$20-H7+E27)/1000)-(C19)),0.1),1))/H17/H19/H20/(IF(E4="On",1+(1-(1-H22)^((E24*(MIN(MAX((0.1+($E$19/($E$19+((H5+35)*(C20)+2)))+(($E$20-H7+E27)/1000)-(C19)),0.1),1)))*H23))*H24,1)),0),"Calc. Off"),"Calc. Off")</f>
        <v>7287</v>
      </c>
      <c r="L16" s="29" t="n">
        <f aca="false">IF($C$15="On",IF($C$4="On",ROUND(((H4+266+75+(H4+266+75)*C22)/(1-C21)/(1-IF(E21="CV",C24,0))/MIN(MAX((0.1+($E$19/($E$19+((H5+35)*(C20)+2)))+(($E$20-H7+E27)/1000)-(C19)),0.1),1))/H17/H19/H20/(IF(E4="On",1+(1-(1-H25)^((E24*(MIN(MAX((0.1+($E$19/($E$19+((H5+35)*(C20)+2)))+(($E$20-H7+E27)/1000)-(C19)),0.1),1)))*H26))*H27,1)),0),"Calc. Off"),"Calc. Off")</f>
        <v>8230</v>
      </c>
      <c r="M16" s="29" t="n">
        <f aca="false">IF($C$5="On",IF($C$15="On",ROUND(((H4+44+75+(H4+75+44)*C22)/(1-C21)/(1-IF(E21="CV",C24,0))/MIN(MAX((0.1+($E$19/($E$19+((H5+17+35)*(C20)+2)))+(($E$20-H7+E27)/1000)-C19),0.1),1))/H17/H19/H20/(IF(E4="On",1+(1-(1-H22)^((E24*(MIN(MAX((0.1+($E$19/($E$19+((H5+17+35)*(C20)+2)))+(($E$20-H7+E27)/1000)-(C19)),0.1),1)))*H23))*H24,1)),0),"Calc. Off"),"Calc. Off")</f>
        <v>7795</v>
      </c>
      <c r="N16" s="29" t="n">
        <f aca="false">IF($C$6="On",IF($C$15="On",ROUND(((H4+100+75+(H4+75+100)*C22)/(1-C21)/(1-IF(E21="CV",C24,0))/MIN(MAX((0.1+($E$19/($E$19+((H5+18+35)*(C20)+2)))+(($E$20-H7+E27)/1000)-C19),0.1),1))/H17/H19/H20/(IF(E4="On",1+(1-(1-H22)^((E24*(MIN(MAX((0.1+($E$19/($E$19+((H5+18+35)*(C20)+2)))+(($E$20-H7+E27)/1000)-(C19)),0.1),1)))*H23))*H24,1)),0),"Calc. Off"),"Calc. Off")</f>
        <v>8024</v>
      </c>
      <c r="O16" s="29" t="n">
        <f aca="false">IF($C$15="On",IF($C$7="On",ROUND(((H4+245+75+(H4+245+75)*C22)/(1-C21)/(1-IF(E21="CV",C24,0))/MIN(MAX((0.1+($E$19/($E$19+((H5+35)*(C20)+2)))+(($E$20-H7+E27)/1000)-C19),0.1),1))/H17/H19/H20/(IF(E4="On",1+(1-(1-H22)^((E24*(MIN(MAX((0.1+($E$19/($E$19+((H5+35)*(C20)+2)))+(($E$20-H7+E27)/1000)-(C19)),0.1),1)))*H23))*H24,1)),0),"Calc. Off"),"Calc. Off")</f>
        <v>8156</v>
      </c>
      <c r="P16" s="29" t="n">
        <f aca="false">IF($C$8="On",IF($C$15="On",ROUND(((H4+350+75+(H4+350+75)*C22)/(1-C21)/(1-IF(E21="CV",C24,0))/MIN(MAX((0.1+($E$19/($E$19+((H5+5+35)*(C20)+2)))+(($E$20-H7+E27)/1000)-C19),0.1),1))/H17/H19/H20/(IF(E4="On",1+(1-(1-H22)^((E24*(MIN(MAX((0.1+($E$19/($E$19+((H5+5+35)*(C20)+2)))+(($E$20-H7+E27)/1000)-(C19)),0.1),1)))*H23))*H24,1)),0),"Calc. Off"),"Calc. Off")</f>
        <v>8649</v>
      </c>
      <c r="Q16" s="29" t="str">
        <f aca="false">IF($C$15="On",IF($C$9="On",IF(G2="DD","N/A",IF(G2="SS","N/A",IF(G2="SSV","N/A",ROUND(((H4+350+75+(H4+350+75)*C22)/(1-C21)/(1-IF(E21="CV",C24,0))/MIN(MAX((0.1+($E$19/($E$19+((H5+35)*(C20)+2)))+(($E$20-H7+E27)/1000)-C19),0.1),1))/H17/IF($E$3="On",IF(E22="Torpedo",0.7,1),1)/H19/H20/(IF(E4="On",1+(1-(1-H22)^((E24*(MIN(MAX((0.1+($E$19/($E$19+((H5+35)*(C20)+2)))+(($E$20-H7+E27)/1000)-(C19)),0.1),1)))*H23))*H24,1)),0)))),"Calc. Off"),"Calc. Off")</f>
        <v>N/A</v>
      </c>
      <c r="R16" s="29" t="n">
        <f aca="false">IF($C$15="On",IF($C$10="On",ROUND(((H4+500+75+(H4+500+75)*C22+IF($E$3="On",ROUNDDOWN($E$26/15,0)*0.01*(H4+500+75),0))/(1-C21)/(1-IF(E21="CV",C24,0))/MIN(MAX((0.1+($E$19/($E$19+((H5+35)*(C20)+2)))+(($E$20-H7+E27)/1000)-C19),0.1),1))/H17/H19/H20/(IF(E4="On",1+(1-(1-H22)^((E24*(MIN(MAX((0.1+($E$19/($E$19+((H5+35)*(C20)+2)))+(($E$20-H7+E27)/1000)-(C19)),0.1),1)))*H23))*H24,1)),0),"Calc. Off"),"Calc. Off")</f>
        <v>9423</v>
      </c>
      <c r="S16" s="29" t="n">
        <f aca="false">IF($C$15="On",IF(C11="On",IF(G2&lt;&gt;"DD","N/A",ROUND(((H4+75+550+((H4+75+550)*C22))/(1-C21)/(1-IF(E21="CV",C24,0))/MIN(MAX((0.1+($E$19/($E$19+((H5+35)*(C20)+2)))+(($E$20-H7+E27)/1000)-(C19)),0.1),1))/H17/H19/H20/(IF(E4="On",1+(1-(1-H22)^((E24*(MIN(MAX((0.1+($E$19/($E$19+((H5+35)*(C20)+2)))+(($E$20-H7+E27)/1000)-(C19)),0.1),1)))*H23))*H24,1)),0)),"Calc. Off"),"Calc. Off")</f>
        <v>9238</v>
      </c>
      <c r="T16" s="29" t="str">
        <f aca="false">IF($C$15="On",IF($C$12="On",IF(G2="DD","N/A",IF(G2="CL","N/A",IF(G2="CA","N/A",IF(G2="BM","N/A",IF(G2="CVL","N/A",IF(G2="AR","N/A",IF(G2="SS","N/A",IF(G2="SSV","N/A",ROUND(((H4+650+75+(H4+650+75)*C22)/(1-C21)/(1-IF(E21="CV",C24,0))/MIN(MAX((0.1+($E$19/($E$19+((H5+35)*(C20)+2)))+(($E$20-H7+E27)/1000)-C19),0.1),1))/IF(E3="On",H18,H17)/H19/H20/IF(E3="On",IF(H3="Heavy",IFERROR(IF(INDEX(AmmoBase[Base],MATCH(E22,AmmoBase[Type],0))="AP",0.94,IF(OR(INDEX(AmmoBase[Base],MATCH(E22,AmmoBase[Type],0))="HE",INDEX(AmmoBase[Base],MATCH(E22,AmmoBase[Type],0))="Normal"),0.97,1)),1),1),1)/(IF(E4="On",1+(1-(1-H22)^((E24*(MIN(MAX((0.1+($E$19/($E$19+((H5+35)*(C20)+2)))+(($E$20-H7+E27)/1000)-(C19)),0.1),1)))*H23))*H24,1)),0))))))))),"Calc. Off"),"Calc. Off")</f>
        <v>N/A</v>
      </c>
      <c r="U16" s="29" t="n">
        <f aca="false">IF($C$13="On",IF($C$15="On",ROUND(((H4+75+(H4+75)*C22)/(1-C21)/(1-IF(E21="CV",C24,0))/MIN(MAX((0.1+($E$19/($E$19+((H5+15+35)*(C20)+2)))+(($E$20-H7+E27)/1000)-C19),0.1),1))/H17/H19/H20/(IF(E4="On",1+(1-(1-H22)^((E24*(MIN(MAX((0.1+($E$19/($E$19+((H5+15+35)*(C20)+2)))+(($E$20-H7+E27)/1000)-(C19)),0.1),1)))*H23))*H24,1)),0),"Calc. Off"),"Calc. Off")</f>
        <v>7592</v>
      </c>
      <c r="V16" s="29" t="n">
        <f aca="false">IF($C$14="On",IF($C$15="On",ROUND(((H4+75+(H4+75)*C22)/(1-C21)/(1-IF(E21="CV",C24,0))/MIN(MAX((0.1+($E$19/($E$19+((H5+28+35)*(C20)+2)))+(($E$20-H7+E27)/1000)-C19),0.1),1))/H17/H19/H20/(IF(E4="On",1+(1-(1-H22)^((E24*(MIN(MAX((0.1+($E$19/($E$19+((H5+28+35)*(C20)+2)))+(($E$20-H7+E27)/1000)-(C19)),0.1),1)))*H23))*H24,1)),0),"Calc. Off"),"Calc. Off")</f>
        <v>7848</v>
      </c>
      <c r="W16" s="29" t="s">
        <v>58</v>
      </c>
      <c r="X16" s="29" t="n">
        <f aca="false">IF($C$15="On",IF($C$16="On",ROUND((((H4+75+60+(H4+60+75)*C22)/(1-C21)/(1-IF(E21="CV",C24,0))/MIN(MAX((0.1+($E$19/($E$19+((H5+35+40)*(C20)+2)))+(($E$20-H7+E27)/1000)-C19),0.1),1))/H17)/IF($E$3="On",0.97,1)/H19/H20/(IF(E4="On",1+(1-(1-H22)^((E24*(MIN(MAX((0.1+($E$19/($E$19+((H5+35+40)*(C20)+2)))+(($E$20-H7+E27)/1000)-(C19)),0.1),1)))*H23))*H24,1)),0),"Calc. Off"),"Calc. Off")</f>
        <v>8570</v>
      </c>
      <c r="Y16" s="12"/>
      <c r="Z16" s="12"/>
      <c r="AA16" s="12"/>
      <c r="AB16" s="12"/>
      <c r="AC16" s="12"/>
      <c r="AD16" s="12"/>
      <c r="AE16" s="12"/>
      <c r="AF16" s="12"/>
    </row>
    <row r="17" customFormat="false" ht="15" hidden="false" customHeight="true" outlineLevel="0" collapsed="false">
      <c r="A17" s="12"/>
      <c r="B17" s="12"/>
      <c r="C17" s="12"/>
      <c r="D17" s="12"/>
      <c r="E17" s="12"/>
      <c r="F17" s="12"/>
      <c r="G17" s="20" t="s">
        <v>60</v>
      </c>
      <c r="H17" s="35" t="n">
        <f aca="true">IFERROR(INDEX(INDIRECT(E21&amp;"Coef"),MATCH(E22,INDIRECT(E21&amp;"Coef"&amp;"[Ammo]"),0),COLUMN(INDIRECT(E21&amp;"Coef"&amp;"["&amp;H3&amp;"]"))),1)</f>
        <v>1</v>
      </c>
      <c r="I17" s="12"/>
      <c r="J17" s="28" t="s">
        <v>42</v>
      </c>
      <c r="K17" s="29" t="n">
        <f aca="false">IF($C$16="On",IF($C$3="On",ROUND((((H4+60+(H4+60)*C22)/(1-C21)/(1-IF(E21="CV",C24,0))/MIN(MAX((0.1+($E$19/($E$19+((H5+40)*(C20)+2)))+(($E$20-H7+E27)/1000)-(C19)),0.1),1))/H17)/IF($E$3="On",0.97,1)/H19/H20/(IF(E4="On",1+(1-(1-H22)^((E24*(MIN(MAX((0.1+($E$19/($E$19+((H5+40)*(C20)+2)))+(($E$20-H7+E27)/1000)-(C19)),0.1),1)))*H23))*H24,1)),0),"Calc. Off"),"Calc. Off")</f>
        <v>7563</v>
      </c>
      <c r="L17" s="29" t="n">
        <f aca="false">IF($C$16="On",IF($C$4="On",ROUND((((H4+266+60+(H4+266+60)*C22)/(1-C21)/(1-IF(E21="CV",C24,0))/MIN(MAX((0.1+($E$19/($E$19+((H5+40)*(C20)+2)))+(($E$20-H7+E27)/1000)-(C19)),0.1),1))/H17)/IF($E$3="On",0.97,1)/H19/H20/(IF(E4="On",1+(1-(1-H25)^((E24*(MIN(MAX((0.1+($E$19/($E$19+((H5+40)*(C20)+2)))+(($E$20-H7+E27)/1000)-(C19)),0.1),1)))*H26))*H27,1)),0),"Calc. Off"),"Calc. Off")</f>
        <v>8549</v>
      </c>
      <c r="M17" s="29" t="n">
        <f aca="false">IF($C$5="On",IF($C$16="On",ROUND((((H4+44+60+(H4+60+44)*C22)/(1-C21)/(1-IF(E21="CV",C24,0))/MIN(MAX((0.1+($E$19/($E$19+((H5+17+40)*(C20)+2)))+(($E$20-H7+E27)/1000)-C19),0.1),1))/H17)/IF($E$3="On",0.97,1)/H19/H20/(IF(E4="On",1+(1-(1-H22)^((E24*(MIN(MAX((0.1+($E$19/($E$19+((H5+17+40)*(C20)+2)))+(($E$20-H7+E27)/1000)-(C19)),0.1),1)))*H23))*H24,1)),0),"Calc. Off"),"Calc. Off")</f>
        <v>8082</v>
      </c>
      <c r="N17" s="29" t="n">
        <f aca="false">IF($C$6="On",IF($C$16="On",ROUND((((H4+100+60+(H4+60+100)*C22)/(1-C21)/(1-IF(E21="CV",C24,0))/MIN(MAX((0.1+($E$19/($E$19+((H5+18+40)*(C20)+2)))+(($E$20-H7+E27)/1000)-C19),0.1),1))/H17)/IF($E$3="On",0.97,1)/H19/H20/(IF(E4="On",1+(1-(1-H22)^((E24*(MIN(MAX((0.1+($E$19/($E$19+((H5+18+40)*(C20)+2)))+(($E$20-H7+E27)/1000)-(C19)),0.1),1)))*H23))*H24,1)),0),"Calc. Off"),"Calc. Off")</f>
        <v>8321</v>
      </c>
      <c r="O17" s="29" t="n">
        <f aca="false">IF($C$16="On",IF($C$7="On",ROUND((((H4+245+60+(H4+245+60)*C22)/(1-C21)/(1-IF(E21="CV",C24,0))/MIN(MAX((0.1+($E$19/($E$19+((H5+40)*(C20)+2)))+(($E$20-H7+E27)/1000)-C19),0.1),1))/H17)/IF($E$3="On",0.97,1)/H19/H20/(IF(E4="On",1+(1-(1-H22)^((E24*(MIN(MAX((0.1+($E$19/($E$19+((H5+40)*(C20)+2)))+(($E$20-H7+E27)/1000)-(C19)),0.1),1)))*H23))*H24,1)),0),"Calc. Off"),"Calc. Off")</f>
        <v>8471</v>
      </c>
      <c r="P17" s="29" t="n">
        <f aca="false">IF($C$8="On",IF($C$16="On",ROUND((((H4+350+60+(H4+60+350)*C22)/(1-C21)/(1-IF(E21="CV",C24,0))/MIN(MAX((0.1+($E$19/($E$19+((H5+5+40)*(C20)+2)))+(($E$20-H7+E27)/1000)-C19),0.1),1))/H17)/IF($E$3="On",0.97,1)/H19/H20/(IF(E4="On",1+(1-(1-H22)^((E24*(MIN(MAX((0.1+($E$19/($E$19+((H5+5+40)*(C20)+2)))+(($E$20-H7+E27)/1000)-(C19)),0.1),1)))*H23))*H24,1)),0),"Calc. Off"),"Calc. Off")</f>
        <v>8982</v>
      </c>
      <c r="Q17" s="29" t="str">
        <f aca="false">IF($C$16="On",IF($C$9="On",IF(G2="DD","N/A",IF(G2="SS","N/A",IF(G2="SSV","N/A",ROUND((((H4+350+60+(H4+350+60)*C22)/(1-C21)/(1-IF(E21="CV",C24,0))/MIN(MAX((0.1+($E$19/($E$19+((H5+40)*(C20)+2)))+(($E$20-H7+E27)/1000)-C19),0.1),1))/H17/IF($E$3="On",IF(E22="Torpedo",0.7,1),1))/IF($E$3="On",0.97,1)/H19/H20/(IF(E4="On",1+(1-(1-H22)^((E24*(MIN(MAX((0.1+($E$19/($E$19+((H5+40)*(C20)+2)))+(($E$20-H7+E27)/1000)-(C19)),0.1),1)))*H23))*H24,1)),0)))),"Calc. Off"),"Calc. Off")</f>
        <v>N/A</v>
      </c>
      <c r="R17" s="29" t="n">
        <f aca="false">IF($C$16="On",IF($C$10="On",ROUND((((H4+500+60+(H4+500+60)*C22+IF($E$3="On",ROUNDDOWN($E$26/15,0)*0.01*(H4+500+60),0))/(1-C21)/(1-IF(E21="CV",C24,0))/MIN(MAX((0.1+($E$19/($E$19+((H5+40)*(C20)+2)))+(($E$20-H7+E27)/1000)-C19),0.1),1))/H17)/IF($E$3="On",0.97,1)/H19/H20/(IF(E4="On",1+(1-(1-H22)^((E24*(MIN(MAX((0.1+($E$19/($E$19+((H5+40)*(C20)+2)))+(($E$20-H7+E27)/1000)-(C19)),0.1),1)))*H23))*H24,1)),0),"Calc. Off"),"Calc. Off")</f>
        <v>9793</v>
      </c>
      <c r="S17" s="29" t="n">
        <f aca="false">IF($C16="On",IF(C11="On",IF(G2&lt;&gt;"DD","N/A",ROUND(((H4+60+550+((H4+60+550)*C22))/(1-C21)/(1-IF(E21="CV",C24,0))/MIN(MAX((0.1+($E$19/($E$19+((H5+40)*(C20)+2)))+(($E$20-H7+E27)/1000)-(C19)),0.1),1))/H17/IF($E$3="On",0.97,1)/H19/H20/(IF(E4="On",1+(1-(1-H22)^((E24*(MIN(MAX((0.1+($E$19/($E$19+((H5+40)*(C20)+2)))+(($E$20-H7+E27)/1000)-(C19)),0.1),1)))*H23))*H24,1)),0)),"Calc. Off"),"Calc. Off")</f>
        <v>9602</v>
      </c>
      <c r="T17" s="29" t="str">
        <f aca="false">IF($C$16="On",IF($C$12="On",IF(G2="DD","N/A",IF(G2="CL","N/A",IF(G2="CA","N/A",IF(G2="BM","N/A",IF(G2="CVL","N/A",IF(G2="AR","N/A",IF(G2="SS","N/A",IF(G2="SSV","N/A",ROUND((((H4+650+60+(H4+650+60)*C22)/(1-C21)/(1-IF(E21="CV",C24,0))/MIN(MAX((0.1+($E$19/($E$19+((H5+40)*(C20)+2)))+(($E$20-H7+E27)/1000)-C19),0.1),1))/IF(E3="On",H18,H17))/IF($E$3="On",0.97,1)/H19/H20/IF(E3="On",IF(H3="Heavy",IFERROR(IF(INDEX(AmmoBase[Base],MATCH(E22,AmmoBase[Type],0))="AP",0.94,IF(OR(INDEX(AmmoBase[Base],MATCH(E22,AmmoBase[Type],0))="HE",INDEX(AmmoBase[Base],MATCH(E22,AmmoBase[Type],0))="Normal"),0.97,1)),1),1),1)/(IF(E4="On",1+(1-(1-H22)^((E24*(MIN(MAX((0.1+($E$19/($E$19+((H5+40)*(C20)+2)))+(($E$20-H7+E27)/1000)-(C19)),0.1),1)))*H23))*H24,1)),0))))))))),"Calc. Off"),"Calc. Off")</f>
        <v>N/A</v>
      </c>
      <c r="U17" s="29" t="n">
        <f aca="false">IF($C$13="On",IF($C$16="On",ROUND((((H4+60+(H4+60)*C22)/(1-C21)/(1-IF(E21="CV",C24,0))/MIN(MAX((0.1+($E$19/($E$19+((H5+15+40)*(C20)+2)))+(($E$20-H7+E27)/1000)-C19),0.1),1))/H17)/IF($E$3="On",0.97,1)/H19/H20/(IF(E4="On",1+(1-(1-H22)^((E24*(MIN(MAX((0.1+($E$19/($E$19+((H5+15+40)*(C20)+2)))+(($E$20-H7+E27)/1000)-(C19)),0.1),1)))*H23))*H24,1)),0),"Calc. Off"),"Calc. Off")</f>
        <v>7871</v>
      </c>
      <c r="V17" s="29" t="n">
        <f aca="false">IF($C$14="On",IF($C$16="On",ROUND((((H4+60+(H4+60)*C22)/(1-C21)/(1-IF(E21="CV",C24,0))/MIN(MAX((0.1+($E$19/($E$19+((H5+28+40)*(C20)+2)))+(($E$20-H7+E27)/1000)-C19),0.1),1))/H17)/IF($E$3="On",0.97,1)/H19/H20/(IF(E4="On",1+(1-(1-H22)^((E24*(MIN(MAX((0.1+($E$19/($E$19+((H5+28+40)*(C20)+2)))+(($E$20-H7+E27)/1000)-(C19)),0.1),1)))*H23))*H24,1)),0),"Calc. Off"),"Calc. Off")</f>
        <v>8130</v>
      </c>
      <c r="W17" s="29" t="n">
        <f aca="false">IF($C$15="On",IF($C$16="On",ROUND((((H4+75+60+(H4+60+75)*C22)/(1-C21)/(1-IF(E21="CV",C24,0))/MIN(MAX((0.1+($E$19/($E$19+((H5+35+40)*(C20)+2)))+(($E$20-H7+E27)/1000)-C19),0.1),1))/H17)/IF($E$3="On",0.97,1)/H19/H20/(IF(E4="On",1+(1-(1-H22)^((E24*(MIN(MAX((0.1+($E$19/($E$19+((H5+35+40)*(C20)+2)))+(($E$20-H7+E27)/1000)-(C19)),0.1),1)))*H23))*H24,1)),0),"Calc. Off"),"Calc. Off")</f>
        <v>8570</v>
      </c>
      <c r="X17" s="29" t="s">
        <v>58</v>
      </c>
      <c r="Y17" s="12"/>
      <c r="Z17" s="12"/>
      <c r="AA17" s="12"/>
      <c r="AB17" s="12"/>
      <c r="AC17" s="12"/>
      <c r="AD17" s="12"/>
      <c r="AE17" s="12"/>
      <c r="AF17" s="12"/>
    </row>
    <row r="18" customFormat="false" ht="14.4" hidden="false" customHeight="false" outlineLevel="0" collapsed="false">
      <c r="A18" s="12"/>
      <c r="B18" s="13" t="s">
        <v>61</v>
      </c>
      <c r="C18" s="13"/>
      <c r="D18" s="13"/>
      <c r="E18" s="13"/>
      <c r="F18" s="12"/>
      <c r="G18" s="20" t="s">
        <v>62</v>
      </c>
      <c r="H18" s="35" t="n">
        <f aca="true">IFERROR(INDEX(INDIRECT(E21&amp;"Coef"),MATCH(E22,INDIRECT(E21&amp;"Coef"&amp;"[Ammo]"),0),COLUMN(INDIRECT(E21&amp;"Coef[Heavy]"))),1)</f>
        <v>0.25</v>
      </c>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customFormat="false" ht="14.4" hidden="false" customHeight="false" outlineLevel="0" collapsed="false">
      <c r="A19" s="12"/>
      <c r="B19" s="14" t="s">
        <v>63</v>
      </c>
      <c r="C19" s="37" t="n">
        <v>0</v>
      </c>
      <c r="D19" s="14" t="s">
        <v>64</v>
      </c>
      <c r="E19" s="38" t="n">
        <v>50</v>
      </c>
      <c r="F19" s="12"/>
      <c r="G19" s="20" t="s">
        <v>65</v>
      </c>
      <c r="H19" s="35" t="n">
        <f aca="false">1-IF(E28="Non-Safe",1-((100-2*MAX(MIN((E27),25),-25))/100)*((100-2*E29)/100),IFERROR(IF(E28="Safe",1-((100-2*MAX(MIN((E27+E29),25),-25))/100)*((100-2*E29)/100)),0))</f>
        <v>1</v>
      </c>
      <c r="I19" s="12"/>
      <c r="J19" s="33" t="s">
        <v>66</v>
      </c>
      <c r="K19" s="39" t="s">
        <v>67</v>
      </c>
      <c r="L19" s="40" t="n">
        <v>1</v>
      </c>
      <c r="M19" s="40" t="n">
        <v>2</v>
      </c>
      <c r="N19" s="40" t="n">
        <v>3</v>
      </c>
      <c r="O19" s="40" t="n">
        <v>4</v>
      </c>
      <c r="P19" s="40" t="n">
        <v>5</v>
      </c>
      <c r="Q19" s="40" t="n">
        <v>6</v>
      </c>
      <c r="R19" s="40" t="n">
        <v>7</v>
      </c>
      <c r="S19" s="40" t="n">
        <v>8</v>
      </c>
      <c r="T19" s="40" t="n">
        <v>9</v>
      </c>
      <c r="U19" s="41" t="n">
        <v>10</v>
      </c>
      <c r="V19" s="40" t="n">
        <v>11</v>
      </c>
      <c r="W19" s="40" t="n">
        <v>12</v>
      </c>
      <c r="X19" s="42" t="s">
        <v>68</v>
      </c>
      <c r="Y19" s="12"/>
      <c r="Z19" s="12"/>
      <c r="AA19" s="12"/>
      <c r="AB19" s="12"/>
      <c r="AC19" s="12"/>
      <c r="AD19" s="12"/>
      <c r="AE19" s="12"/>
      <c r="AF19" s="12"/>
    </row>
    <row r="20" customFormat="false" ht="15" hidden="false" customHeight="true" outlineLevel="0" collapsed="false">
      <c r="A20" s="12"/>
      <c r="B20" s="14" t="s">
        <v>69</v>
      </c>
      <c r="C20" s="37" t="n">
        <v>1</v>
      </c>
      <c r="D20" s="14" t="s">
        <v>70</v>
      </c>
      <c r="E20" s="18" t="n">
        <v>0</v>
      </c>
      <c r="F20" s="12"/>
      <c r="G20" s="20" t="s">
        <v>71</v>
      </c>
      <c r="H20" s="35" t="n">
        <f aca="false">IF(E21="CV",150/(150+H6*(C23)),1)</f>
        <v>1</v>
      </c>
      <c r="I20" s="12"/>
      <c r="J20" s="43"/>
      <c r="K20" s="12"/>
      <c r="L20" s="12"/>
      <c r="M20" s="12"/>
      <c r="N20" s="12"/>
      <c r="O20" s="12"/>
      <c r="P20" s="12"/>
      <c r="Q20" s="12"/>
      <c r="R20" s="12"/>
      <c r="S20" s="12"/>
      <c r="T20" s="12"/>
      <c r="U20" s="12"/>
      <c r="V20" s="12"/>
      <c r="W20" s="12"/>
      <c r="X20" s="12"/>
      <c r="Y20" s="12"/>
      <c r="Z20" s="12"/>
      <c r="AA20" s="12"/>
      <c r="AB20" s="12"/>
      <c r="AC20" s="12"/>
      <c r="AD20" s="12"/>
      <c r="AE20" s="12"/>
      <c r="AF20" s="12"/>
    </row>
    <row r="21" customFormat="false" ht="14.4" hidden="false" customHeight="false" outlineLevel="0" collapsed="false">
      <c r="A21" s="12"/>
      <c r="B21" s="14" t="s">
        <v>72</v>
      </c>
      <c r="C21" s="37" t="n">
        <v>0</v>
      </c>
      <c r="D21" s="14" t="s">
        <v>73</v>
      </c>
      <c r="E21" s="18" t="s">
        <v>74</v>
      </c>
      <c r="F21" s="12"/>
      <c r="G21" s="44"/>
      <c r="H21" s="44"/>
      <c r="I21" s="12"/>
      <c r="J21" s="43"/>
      <c r="K21" s="12"/>
      <c r="L21" s="12"/>
      <c r="M21" s="12"/>
      <c r="N21" s="12"/>
      <c r="O21" s="12"/>
      <c r="P21" s="12"/>
      <c r="Q21" s="12"/>
      <c r="R21" s="12"/>
      <c r="S21" s="12"/>
      <c r="T21" s="12"/>
      <c r="U21" s="12"/>
      <c r="V21" s="12"/>
      <c r="W21" s="12"/>
      <c r="X21" s="12"/>
      <c r="Y21" s="12"/>
      <c r="Z21" s="12"/>
      <c r="AA21" s="12"/>
      <c r="AB21" s="12"/>
      <c r="AC21" s="12"/>
      <c r="AD21" s="12"/>
      <c r="AE21" s="12"/>
      <c r="AF21" s="12"/>
    </row>
    <row r="22" customFormat="false" ht="14.4" hidden="false" customHeight="false" outlineLevel="0" collapsed="false">
      <c r="A22" s="12"/>
      <c r="B22" s="14" t="s">
        <v>75</v>
      </c>
      <c r="C22" s="37" t="n">
        <v>0</v>
      </c>
      <c r="D22" s="14" t="s">
        <v>76</v>
      </c>
      <c r="E22" s="18" t="s">
        <v>77</v>
      </c>
      <c r="F22" s="12"/>
      <c r="G22" s="20" t="s">
        <v>78</v>
      </c>
      <c r="H22" s="35" t="n">
        <f aca="false">IFERROR(MAX(0,INDEX(BurnT2[Proc],MATCH(E21&amp;E22,BurnT2[Type]&amp;BurnT2[Ammo],0))-'eHP Calc'!C25),1)</f>
        <v>1</v>
      </c>
      <c r="I22" s="12"/>
      <c r="J22" s="12"/>
      <c r="K22" s="43"/>
      <c r="L22" s="12"/>
      <c r="M22" s="12"/>
      <c r="N22" s="12"/>
      <c r="O22" s="12"/>
      <c r="P22" s="12"/>
      <c r="Q22" s="12"/>
      <c r="R22" s="12"/>
      <c r="S22" s="12"/>
      <c r="T22" s="12"/>
      <c r="U22" s="12"/>
      <c r="V22" s="12"/>
      <c r="W22" s="12"/>
      <c r="X22" s="12"/>
      <c r="Y22" s="12"/>
      <c r="Z22" s="12"/>
      <c r="AA22" s="12"/>
      <c r="AB22" s="12"/>
      <c r="AC22" s="12"/>
      <c r="AD22" s="12"/>
      <c r="AE22" s="12"/>
      <c r="AF22" s="12"/>
    </row>
    <row r="23" customFormat="false" ht="15" hidden="false" customHeight="true" outlineLevel="0" collapsed="false">
      <c r="A23" s="12"/>
      <c r="B23" s="14" t="s">
        <v>79</v>
      </c>
      <c r="C23" s="37" t="n">
        <v>1</v>
      </c>
      <c r="D23" s="14" t="s">
        <v>80</v>
      </c>
      <c r="E23" s="18" t="n">
        <v>0</v>
      </c>
      <c r="F23" s="12"/>
      <c r="G23" s="20" t="s">
        <v>81</v>
      </c>
      <c r="H23" s="35" t="n">
        <f aca="false">IFERROR(MAX(0,(15-'eHP Calc'!C26)/'eHP Calc'!E23),1)</f>
        <v>1</v>
      </c>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customFormat="false" ht="14.4" hidden="false" customHeight="false" outlineLevel="0" collapsed="false">
      <c r="A24" s="12"/>
      <c r="B24" s="14" t="s">
        <v>82</v>
      </c>
      <c r="C24" s="37" t="n">
        <v>0</v>
      </c>
      <c r="D24" s="14" t="s">
        <v>83</v>
      </c>
      <c r="E24" s="18" t="n">
        <v>0</v>
      </c>
      <c r="F24" s="12"/>
      <c r="G24" s="20" t="s">
        <v>84</v>
      </c>
      <c r="H24" s="35" t="n">
        <f aca="false">IFERROR(INDEX(BurnT2[Coef],MATCH(E21&amp;E22,BurnT2[Type]&amp;BurnT2[Ammo],0))*MAX(0,(1-'eHP Calc'!C27)),1)</f>
        <v>1</v>
      </c>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customFormat="false" ht="14.4" hidden="false" customHeight="false" outlineLevel="0" collapsed="false">
      <c r="A25" s="12"/>
      <c r="B25" s="14" t="s">
        <v>85</v>
      </c>
      <c r="C25" s="37" t="n">
        <v>0</v>
      </c>
      <c r="D25" s="30"/>
      <c r="E25" s="31"/>
      <c r="F25" s="12"/>
      <c r="G25" s="20" t="s">
        <v>86</v>
      </c>
      <c r="H25" s="35" t="n">
        <f aca="false">IFERROR(MAX(0,INDEX(BurnT2[Proc],MATCH(E21&amp;E22,BurnT2[Type]&amp;BurnT2[Ammo],0))-(IF('eHP Calc'!E3="Yes",0.3,0)+'eHP Calc'!C25)),1)</f>
        <v>1</v>
      </c>
      <c r="I25" s="12"/>
      <c r="J25" s="12"/>
      <c r="K25" s="43"/>
      <c r="L25" s="12"/>
      <c r="M25" s="12"/>
      <c r="N25" s="12"/>
      <c r="O25" s="12"/>
      <c r="P25" s="12"/>
      <c r="Q25" s="12"/>
      <c r="R25" s="12"/>
      <c r="S25" s="12"/>
      <c r="T25" s="12"/>
      <c r="U25" s="12"/>
      <c r="V25" s="12"/>
      <c r="W25" s="12"/>
      <c r="X25" s="12"/>
      <c r="Y25" s="12"/>
      <c r="Z25" s="12"/>
      <c r="AA25" s="12"/>
      <c r="AB25" s="12"/>
      <c r="AC25" s="12"/>
      <c r="AD25" s="12"/>
      <c r="AE25" s="12"/>
      <c r="AF25" s="12"/>
    </row>
    <row r="26" customFormat="false" ht="14.4" hidden="false" customHeight="false" outlineLevel="0" collapsed="false">
      <c r="A26" s="12"/>
      <c r="B26" s="14" t="s">
        <v>87</v>
      </c>
      <c r="C26" s="26" t="n">
        <v>0</v>
      </c>
      <c r="D26" s="14" t="s">
        <v>88</v>
      </c>
      <c r="E26" s="18" t="n">
        <v>60</v>
      </c>
      <c r="F26" s="12"/>
      <c r="G26" s="20" t="s">
        <v>89</v>
      </c>
      <c r="H26" s="35" t="n">
        <f aca="false">IFERROR(MAX(0,(IF('eHP Calc'!E3="Yes",9,15)-'eHP Calc'!C26)/'eHP Calc'!E23),1)</f>
        <v>1</v>
      </c>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customFormat="false" ht="14.4" hidden="false" customHeight="false" outlineLevel="0" collapsed="false">
      <c r="A27" s="12"/>
      <c r="B27" s="14" t="s">
        <v>90</v>
      </c>
      <c r="C27" s="37" t="n">
        <v>0</v>
      </c>
      <c r="D27" s="14" t="s">
        <v>91</v>
      </c>
      <c r="E27" s="38" t="n">
        <v>0</v>
      </c>
      <c r="F27" s="12"/>
      <c r="G27" s="20" t="s">
        <v>92</v>
      </c>
      <c r="H27" s="35" t="n">
        <f aca="false">IFERROR(INDEX(BurnT2[Coef],MATCH(E21&amp;E22,BurnT2[Type]&amp;BurnT2[Ammo],0))*MAX(0,(IF('eHP Calc'!E3="Yes",0.8,1)-'eHP Calc'!C27)),1)</f>
        <v>1</v>
      </c>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customFormat="false" ht="14.4" hidden="false" customHeight="false" outlineLevel="0" collapsed="false">
      <c r="A28" s="12"/>
      <c r="B28" s="30"/>
      <c r="C28" s="26"/>
      <c r="D28" s="14" t="s">
        <v>93</v>
      </c>
      <c r="E28" s="38" t="s">
        <v>94</v>
      </c>
      <c r="F28" s="12"/>
      <c r="G28" s="12"/>
      <c r="H28" s="12"/>
      <c r="I28" s="12"/>
      <c r="J28" s="43"/>
      <c r="K28" s="12"/>
      <c r="L28" s="12"/>
      <c r="M28" s="12"/>
      <c r="N28" s="12"/>
      <c r="O28" s="12"/>
      <c r="P28" s="12"/>
      <c r="Q28" s="12"/>
      <c r="R28" s="12"/>
      <c r="S28" s="12"/>
      <c r="T28" s="12"/>
      <c r="U28" s="12"/>
      <c r="V28" s="12"/>
      <c r="W28" s="12"/>
      <c r="X28" s="12"/>
      <c r="Y28" s="12"/>
      <c r="Z28" s="12"/>
      <c r="AA28" s="12"/>
      <c r="AB28" s="12"/>
      <c r="AC28" s="12"/>
      <c r="AD28" s="12"/>
      <c r="AE28" s="12"/>
      <c r="AF28" s="12"/>
    </row>
    <row r="29" customFormat="false" ht="14.4" hidden="false" customHeight="false" outlineLevel="0" collapsed="false">
      <c r="A29" s="12"/>
      <c r="B29" s="30"/>
      <c r="C29" s="26"/>
      <c r="D29" s="19" t="s">
        <v>95</v>
      </c>
      <c r="E29" s="38" t="n">
        <v>0</v>
      </c>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customFormat="false" ht="14.4" hidden="false" customHeight="false" outlineLevel="0" collapsed="false">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customFormat="false" ht="14.4" hidden="false" customHeight="false" outlineLevel="0" collapsed="false">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customFormat="false" ht="14.4" hidden="false" customHeight="false" outlineLevel="0" collapsed="false">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customFormat="false" ht="14.4" hidden="false" customHeight="false" outlineLevel="0" collapsed="false">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customFormat="false" ht="14.4" hidden="false" customHeight="false" outlineLevel="0" collapsed="false">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customFormat="false" ht="14.4" hidden="false" customHeight="false" outlineLevel="0" collapsed="false">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customFormat="false" ht="14.4" hidden="false" customHeight="false" outlineLevel="0" collapsed="false">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customFormat="false" ht="14.4" hidden="false" customHeight="false" outlineLevel="0" collapsed="false">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customFormat="false" ht="14.4" hidden="false" customHeight="false" outlineLevel="0" collapsed="false">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customFormat="false" ht="14.4" hidden="false" customHeight="false" outlineLevel="0" collapsed="false">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customFormat="false" ht="14.4" hidden="false" customHeight="false" outlineLevel="0" collapsed="false">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customFormat="false" ht="14.4" hidden="false" customHeight="fals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customFormat="false" ht="14.4" hidden="false" customHeight="false" outlineLevel="0" collapsed="false">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customFormat="false" ht="14.4" hidden="false" customHeight="false" outlineLevel="0" collapsed="false">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customFormat="false" ht="14.4" hidden="false" customHeight="fals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customFormat="false" ht="14.4" hidden="false" customHeight="false" outlineLevel="0" collapsed="false">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customFormat="false" ht="14.4" hidden="false" customHeight="false" outlineLevel="0" collapsed="false">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customFormat="false" ht="14.4" hidden="false" customHeight="false" outlineLevel="0" collapsed="false">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customFormat="false" ht="14.4" hidden="false" customHeight="false" outlineLevel="0" collapsed="false">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customFormat="false" ht="14.4" hidden="false" customHeight="false" outlineLevel="0" collapsed="false">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customFormat="false" ht="14.4" hidden="false" customHeight="false" outlineLevel="0" collapsed="false">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customFormat="false" ht="14.4" hidden="false" customHeight="false" outlineLevel="0" collapsed="false">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customFormat="false" ht="14.4" hidden="false" customHeight="false" outlineLevel="0" collapsed="false">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customFormat="false" ht="14.4" hidden="false" customHeight="false" outlineLevel="0" collapsed="false">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customFormat="false" ht="14.4" hidden="false" customHeight="false" outlineLevel="0" collapsed="false">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customFormat="false" ht="14.4" hidden="false" customHeight="false" outlineLevel="0" collapsed="false">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customFormat="false" ht="14.4" hidden="false" customHeight="fals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customFormat="false" ht="14.4" hidden="false" customHeight="fals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customFormat="false" ht="14.4" hidden="false" customHeight="fals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customFormat="false" ht="14.4" hidden="false" customHeight="fals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customFormat="false" ht="14.4" hidden="false" customHeight="fals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customFormat="false" ht="14.4" hidden="false" customHeight="fals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customFormat="false" ht="14.4" hidden="false" customHeight="fals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customFormat="false" ht="14.4" hidden="false" customHeight="fals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customFormat="false" ht="14.4" hidden="false" customHeight="fals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customFormat="false" ht="14.4" hidden="false" customHeight="fals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customFormat="false" ht="14.4" hidden="false" customHeight="fals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customFormat="false" ht="14.4" hidden="false" customHeight="fals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customFormat="false" ht="14.4" hidden="false" customHeight="fals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customFormat="false" ht="14.4" hidden="false" customHeight="fals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customFormat="false" ht="14.4" hidden="false" customHeight="fals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customFormat="false" ht="14.4" hidden="false" customHeight="fals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customFormat="false" ht="14.4" hidden="false" customHeight="fals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customFormat="false" ht="14.4"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customFormat="false" ht="14.4" hidden="false" customHeight="fals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customFormat="false" ht="14.4" hidden="false" customHeight="fals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customFormat="false" ht="14.4" hidden="false" customHeight="fals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customFormat="false" ht="14.4" hidden="false" customHeight="fals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customFormat="false" ht="14.4" hidden="false" customHeight="fals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sheetData>
  <mergeCells count="4">
    <mergeCell ref="B2:E2"/>
    <mergeCell ref="G9:H9"/>
    <mergeCell ref="G16:H16"/>
    <mergeCell ref="B18:E18"/>
  </mergeCells>
  <conditionalFormatting sqref="U45">
    <cfRule type="expression" priority="2" aboveAverage="0" equalAverage="0" bottom="0" percent="0" rank="0" text="" dxfId="0">
      <formula>U45="N/A"</formula>
    </cfRule>
  </conditionalFormatting>
  <conditionalFormatting sqref="K19:X19">
    <cfRule type="colorScale" priority="3">
      <colorScale>
        <cfvo type="min" val="0"/>
        <cfvo type="percentile" val="50"/>
        <cfvo type="max" val="0"/>
        <color rgb="FFB80000"/>
        <color rgb="FF767171"/>
        <color rgb="FF385724"/>
      </colorScale>
    </cfRule>
  </conditionalFormatting>
  <conditionalFormatting sqref="K4:X17">
    <cfRule type="cellIs" priority="4" operator="equal" aboveAverage="0" equalAverage="0" bottom="0" percent="0" rank="0" text="" dxfId="1">
      <formula>"Calc. Off"</formula>
    </cfRule>
    <cfRule type="expression" priority="5" aboveAverage="0" equalAverage="0" bottom="0" percent="0" rank="0" text="" dxfId="2">
      <formula>K4="N/A"</formula>
    </cfRule>
    <cfRule type="colorScale" priority="6">
      <colorScale>
        <cfvo type="min" val="0"/>
        <cfvo type="percentile" val="50"/>
        <cfvo type="max" val="0"/>
        <color rgb="FFB80000"/>
        <color rgb="FF767171"/>
        <color rgb="FF385724"/>
      </colorScale>
    </cfRule>
  </conditionalFormatting>
  <dataValidations count="8">
    <dataValidation allowBlank="false" errorStyle="stop" operator="between" showDropDown="false" showErrorMessage="true" showInputMessage="true" sqref="H10" type="list">
      <formula1>INDIRECT("ArmorChoices")</formula1>
      <formula2>0</formula2>
    </dataValidation>
    <dataValidation allowBlank="true" errorStyle="stop" operator="between" showDropDown="false" showErrorMessage="true" showInputMessage="true" sqref="E22" type="list">
      <formula1>INDIRECT(E21&amp;"Coef"&amp;"[Ammo]")</formula1>
      <formula2>0</formula2>
    </dataValidation>
    <dataValidation allowBlank="true" errorStyle="stop" operator="between" showDropDown="false" showErrorMessage="true" showInputMessage="true" sqref="E7:E12 Q45" type="list">
      <formula1>"Manual,Automatic"</formula1>
      <formula2>0</formula2>
    </dataValidation>
    <dataValidation allowBlank="true" errorStyle="stop" operator="between" showDropDown="false" showErrorMessage="true" showInputMessage="true" sqref="E28" type="list">
      <formula1>"Non-Safe,Safe"</formula1>
      <formula2>0</formula2>
    </dataValidation>
    <dataValidation allowBlank="true" errorStyle="stop" operator="between" showDropDown="false" showErrorMessage="true" showInputMessage="true" sqref="E6" type="list">
      <formula1>"Automatic,Manual"</formula1>
      <formula2>0</formula2>
    </dataValidation>
    <dataValidation allowBlank="true" errorStyle="stop" operator="between" showDropDown="false" showErrorMessage="true" showInputMessage="true" sqref="E21" type="list">
      <formula1>"None,DD,CL,CA,BB,CV"</formula1>
      <formula2>0</formula2>
    </dataValidation>
    <dataValidation allowBlank="true" errorStyle="stop" operator="between" showDropDown="false" showErrorMessage="true" showInputMessage="true" sqref="C3:C5 E3:E4 C6:C16" type="list">
      <formula1>"On,Off"</formula1>
      <formula2>0</formula2>
    </dataValidation>
    <dataValidation allowBlank="true" errorStyle="stop" operator="between" showDropDown="false" showErrorMessage="true" showInputMessage="true" sqref="E13" type="list">
      <formula1>"Manual,Automatic,Mixed"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5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3" activeCellId="0" sqref="C3"/>
    </sheetView>
  </sheetViews>
  <sheetFormatPr defaultColWidth="8.58984375" defaultRowHeight="14.4" zeroHeight="false" outlineLevelRow="0" outlineLevelCol="0"/>
  <cols>
    <col collapsed="false" customWidth="true" hidden="false" outlineLevel="0" max="9" min="6" style="0" width="8.89"/>
  </cols>
  <sheetData>
    <row r="1" customFormat="false" ht="14.4" hidden="false" customHeight="false" outlineLevel="0" collapsed="false">
      <c r="A1" s="1"/>
      <c r="B1" s="1"/>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customFormat="false" ht="14.4" hidden="true" customHeight="false" outlineLevel="0" collapsed="false">
      <c r="A2" s="1"/>
      <c r="B2" s="45" t="s">
        <v>96</v>
      </c>
      <c r="C2" s="45" t="str">
        <f aca="false">IFERROR(INDEX(SType[],MATCH(E2,SType[Ship],0),COLUMN(SType[Type])),0)</f>
        <v>Destroyer</v>
      </c>
      <c r="D2" s="45" t="s">
        <v>97</v>
      </c>
      <c r="E2" s="45" t="str">
        <f aca="false">IFERROR(INDEX(Base[],MATCH(C3,Base[Akashi],0),COLUMN(Base[AR])),0)</f>
        <v>DD</v>
      </c>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customFormat="false" ht="14.4" hidden="false" customHeight="false" outlineLevel="0" collapsed="false">
      <c r="A3" s="1"/>
      <c r="B3" s="46" t="s">
        <v>74</v>
      </c>
      <c r="C3" s="47" t="s">
        <v>25</v>
      </c>
      <c r="D3" s="47"/>
      <c r="E3" s="12"/>
      <c r="F3" s="12"/>
      <c r="G3" s="12"/>
      <c r="H3" s="12"/>
      <c r="I3" s="12"/>
      <c r="J3" s="45"/>
      <c r="K3" s="45"/>
      <c r="L3" s="1"/>
      <c r="M3" s="45"/>
      <c r="N3" s="45"/>
      <c r="O3" s="45"/>
      <c r="P3" s="45"/>
      <c r="Q3" s="45"/>
      <c r="R3" s="45"/>
      <c r="S3" s="45"/>
      <c r="T3" s="45"/>
      <c r="U3" s="45"/>
      <c r="V3" s="45"/>
      <c r="W3" s="45"/>
      <c r="X3" s="45"/>
      <c r="Y3" s="45"/>
      <c r="Z3" s="45"/>
      <c r="AA3" s="45"/>
      <c r="AB3" s="45"/>
      <c r="AC3" s="45"/>
      <c r="AD3" s="45"/>
      <c r="AE3" s="45"/>
      <c r="AF3" s="45"/>
      <c r="AG3" s="45"/>
    </row>
    <row r="4" customFormat="false" ht="14.4" hidden="false" customHeight="true" outlineLevel="0" collapsed="false">
      <c r="A4" s="1"/>
      <c r="B4" s="48" t="s">
        <v>45</v>
      </c>
      <c r="C4" s="48" t="s">
        <v>98</v>
      </c>
      <c r="D4" s="48" t="s">
        <v>99</v>
      </c>
      <c r="E4" s="48" t="s">
        <v>50</v>
      </c>
      <c r="F4" s="48" t="s">
        <v>100</v>
      </c>
      <c r="G4" s="48" t="s">
        <v>46</v>
      </c>
      <c r="H4" s="48" t="s">
        <v>52</v>
      </c>
      <c r="I4" s="48" t="s">
        <v>101</v>
      </c>
      <c r="J4" s="48" t="s">
        <v>102</v>
      </c>
      <c r="K4" s="48" t="s">
        <v>103</v>
      </c>
      <c r="L4" s="48" t="s">
        <v>104</v>
      </c>
      <c r="M4" s="48" t="s">
        <v>105</v>
      </c>
      <c r="N4" s="45"/>
      <c r="O4" s="45"/>
      <c r="P4" s="45"/>
      <c r="Q4" s="45"/>
      <c r="R4" s="45"/>
      <c r="S4" s="45"/>
      <c r="T4" s="45"/>
      <c r="U4" s="45"/>
      <c r="V4" s="45"/>
      <c r="W4" s="45"/>
      <c r="X4" s="45"/>
      <c r="Y4" s="45"/>
      <c r="Z4" s="45"/>
      <c r="AA4" s="45"/>
      <c r="AB4" s="45"/>
      <c r="AC4" s="45"/>
      <c r="AD4" s="45"/>
      <c r="AE4" s="45"/>
      <c r="AF4" s="45"/>
      <c r="AG4" s="45"/>
    </row>
    <row r="5" customFormat="false" ht="14.4" hidden="false" customHeight="false" outlineLevel="0" collapsed="false">
      <c r="A5" s="1"/>
      <c r="B5" s="49" t="n">
        <f aca="true">IFERROR(INDEX(INDIRECT(C2&amp;"Table"),MATCH(C3,INDIRECT(C2&amp;"Table"&amp;"[Name]"),0),COLUMN(INDIRECT(C2&amp;"Table"&amp;"["&amp;B4&amp;"]"))),0)</f>
        <v>1980</v>
      </c>
      <c r="C5" s="49" t="n">
        <f aca="true">IFERROR(INDEX(INDIRECT(C2&amp;"Table"),MATCH(C3,INDIRECT(C2&amp;"Table"&amp;"[Name]"),0),COLUMN(INDIRECT(C2&amp;"Table"&amp;"["&amp;C4&amp;"]"))),0)</f>
        <v>101</v>
      </c>
      <c r="D5" s="49" t="n">
        <f aca="true">IFERROR(INDEX(INDIRECT(C2&amp;"Table"),MATCH(C3,INDIRECT(C2&amp;"Table"&amp;"[Name]"),0),COLUMN(INDIRECT(C2&amp;"Table"&amp;"["&amp;D4&amp;"]"))),0)</f>
        <v>302</v>
      </c>
      <c r="E5" s="49" t="n">
        <f aca="true">IFERROR(INDEX(INDIRECT(C2&amp;"Table"),MATCH(C3,INDIRECT(C2&amp;"Table"&amp;"[Name]"),0),COLUMN(INDIRECT(C2&amp;"Table"&amp;"["&amp;E4&amp;"]"))),0)</f>
        <v>176</v>
      </c>
      <c r="F5" s="49" t="n">
        <f aca="true">IFERROR(INDEX(INDIRECT(C2&amp;"Table"),MATCH(C3,INDIRECT(C2&amp;"Table"&amp;"[Name]"),0),COLUMN(INDIRECT(C2&amp;"Table"&amp;"["&amp;F4&amp;"]"))),0)</f>
        <v>220</v>
      </c>
      <c r="G5" s="49" t="n">
        <f aca="true">IFERROR(INDEX(INDIRECT(C2&amp;"Table"),MATCH(C3,INDIRECT(C2&amp;"Table"&amp;"[Name]"),0),COLUMN(INDIRECT(C2&amp;"Table"&amp;"["&amp;G4&amp;"]"))),0)</f>
        <v>163</v>
      </c>
      <c r="H5" s="49" t="n">
        <f aca="true">IFERROR(INDEX(INDIRECT(C2&amp;"Table"),MATCH(C3,INDIRECT(C2&amp;"Table"&amp;"[Name]"),0),COLUMN(INDIRECT(C2&amp;"Table"&amp;"["&amp;H4&amp;"]"))),0)</f>
        <v>18</v>
      </c>
      <c r="I5" s="49" t="n">
        <f aca="true">IFERROR(INDEX(INDIRECT($C$2&amp;"Table"),MATCH($C$3,INDIRECT($C$2&amp;"Table"&amp;"[Name]"),0),COLUMN(INDIRECT($C$2&amp;"Table"&amp;"["&amp;I4&amp;"]"))),0)</f>
        <v>205</v>
      </c>
      <c r="J5" s="49" t="n">
        <f aca="true">IFERROR(INDEX(INDIRECT($C$2&amp;"Table"),MATCH($C$3,INDIRECT($C$2&amp;"Table"&amp;"[Name]"),0),COLUMN(INDIRECT($C$2&amp;"Table"&amp;"["&amp;J4&amp;"]"))),0)</f>
        <v>9</v>
      </c>
      <c r="K5" s="49" t="n">
        <f aca="true">IFERROR(INDEX(INDIRECT($C$2&amp;"Table"),MATCH($C$3,INDIRECT($C$2&amp;"Table"&amp;"[Name]"),0),COLUMN(INDIRECT($C$2&amp;"Table"&amp;"["&amp;"SPD"&amp;"]"))),0)</f>
        <v>45</v>
      </c>
      <c r="L5" s="49" t="str">
        <f aca="true">IFERROR(INDEX(INDIRECT($C$2&amp;"Table"),MATCH($C$3,INDIRECT($C$2&amp;"Table"&amp;"[Name]"),0),COLUMN(INDIRECT($C$2&amp;"Table"&amp;"["&amp;"Armor Type"&amp;"]"))),0)</f>
        <v>Light</v>
      </c>
      <c r="M5" s="49" t="n">
        <f aca="true">IFERROR(INDEX(INDIRECT($C$2&amp;"Table"),MATCH($C$3,INDIRECT($C$2&amp;"Table"&amp;"[Name]"),0),COLUMN(INDIRECT($C$2&amp;"Table"&amp;"["&amp;M4&amp;"]"))),0)</f>
        <v>199</v>
      </c>
      <c r="N5" s="45"/>
      <c r="O5" s="45"/>
      <c r="P5" s="45"/>
      <c r="Q5" s="45"/>
      <c r="R5" s="45"/>
      <c r="S5" s="45"/>
      <c r="T5" s="45"/>
      <c r="U5" s="45"/>
      <c r="V5" s="45"/>
      <c r="W5" s="45"/>
      <c r="X5" s="45"/>
      <c r="Y5" s="45"/>
      <c r="Z5" s="45"/>
      <c r="AA5" s="45"/>
      <c r="AB5" s="45"/>
      <c r="AC5" s="45"/>
      <c r="AD5" s="45"/>
      <c r="AE5" s="45"/>
      <c r="AF5" s="45"/>
      <c r="AG5" s="45"/>
    </row>
    <row r="6" customFormat="false" ht="14.4" hidden="false" customHeight="false" outlineLevel="0" collapsed="false">
      <c r="A6" s="1"/>
      <c r="B6" s="49"/>
      <c r="C6" s="49"/>
      <c r="D6" s="49"/>
      <c r="E6" s="49"/>
      <c r="F6" s="49"/>
      <c r="G6" s="49"/>
      <c r="H6" s="49"/>
      <c r="I6" s="49"/>
      <c r="J6" s="49"/>
      <c r="K6" s="49"/>
      <c r="L6" s="49"/>
      <c r="M6" s="49"/>
      <c r="N6" s="45"/>
      <c r="O6" s="45"/>
      <c r="P6" s="45"/>
      <c r="Q6" s="45"/>
      <c r="R6" s="45"/>
      <c r="S6" s="45"/>
      <c r="T6" s="45"/>
      <c r="U6" s="45"/>
      <c r="V6" s="45"/>
      <c r="W6" s="45"/>
      <c r="X6" s="45"/>
      <c r="Y6" s="45"/>
      <c r="Z6" s="45"/>
      <c r="AA6" s="45"/>
      <c r="AB6" s="45"/>
      <c r="AC6" s="45"/>
      <c r="AD6" s="45"/>
      <c r="AE6" s="45"/>
      <c r="AF6" s="45"/>
      <c r="AG6" s="45"/>
    </row>
    <row r="7" customFormat="false" ht="14.4" hidden="false" customHeight="false" outlineLevel="0" collapsed="false">
      <c r="A7" s="1"/>
      <c r="B7" s="49"/>
      <c r="C7" s="48" t="s">
        <v>106</v>
      </c>
      <c r="D7" s="48" t="s">
        <v>107</v>
      </c>
      <c r="E7" s="48" t="s">
        <v>108</v>
      </c>
      <c r="F7" s="48" t="s">
        <v>109</v>
      </c>
      <c r="G7" s="49"/>
      <c r="H7" s="49"/>
      <c r="I7" s="49"/>
      <c r="J7" s="49"/>
      <c r="K7" s="49"/>
      <c r="L7" s="49"/>
      <c r="M7" s="49"/>
      <c r="N7" s="45"/>
      <c r="O7" s="45"/>
      <c r="P7" s="45"/>
      <c r="Q7" s="45"/>
      <c r="R7" s="45"/>
      <c r="S7" s="45"/>
      <c r="T7" s="45"/>
      <c r="U7" s="45"/>
      <c r="V7" s="45"/>
      <c r="W7" s="45"/>
      <c r="X7" s="45"/>
      <c r="Y7" s="45"/>
      <c r="Z7" s="45"/>
      <c r="AA7" s="45"/>
      <c r="AB7" s="45"/>
      <c r="AC7" s="45"/>
      <c r="AD7" s="45"/>
      <c r="AE7" s="45"/>
      <c r="AF7" s="45"/>
      <c r="AG7" s="45"/>
    </row>
    <row r="8" customFormat="false" ht="14.4" hidden="false" customHeight="false" outlineLevel="0" collapsed="false">
      <c r="A8" s="1"/>
      <c r="B8" s="48" t="s">
        <v>110</v>
      </c>
      <c r="C8" s="49" t="n">
        <f aca="true">IFERROR(INDEX(INDIRECT(C2&amp;"Table"),MATCH(C3,INDIRECT(C2&amp;"Table"&amp;"[Name]"),0),COLUMN(INDIRECT(C2&amp;"Table"&amp;"[EFF]"))),0)+IF(C3="Kitakaze",0.15,0)</f>
        <v>1.4</v>
      </c>
      <c r="D8" s="49" t="n">
        <f aca="true">IFERROR(INDEX(INDIRECT(C2&amp;"Table"),MATCH(C3,INDIRECT(C2&amp;"Table"&amp;"[Name]"),0),COLUMN(INDIRECT(C2&amp;"Table"&amp;"[SECEFF]"))),0)+IF(C3="Kitakaze",0.15,0)</f>
        <v>1.25</v>
      </c>
      <c r="E8" s="49" t="n">
        <f aca="true">IFERROR(INDEX(INDIRECT(C2&amp;"Table"),MATCH(C3,INDIRECT(C2&amp;"Table"&amp;"[Name]"),0),COLUMN(INDIRECT(C2&amp;"Table"&amp;IF(OR(B3="CV",B3="CVL"),"[TRIEFF]","[AAEFF]")))),0)+IF(C3="Kitakaze",0.15,0)</f>
        <v>1.25</v>
      </c>
      <c r="F8" s="49" t="n">
        <f aca="true">IFERROR(INDEX(INDIRECT(C2&amp;"Table"),MATCH(C3,INDIRECT(C2&amp;"Table"&amp;"[Name]"),0),COLUMN(INDIRECT(C2&amp;"Table"&amp;IF(OR(B3="CV",B3="CVL"),0,"[AAEFF2]")))),0)+IF(C3="Kitakaze",0.15,0)</f>
        <v>0</v>
      </c>
      <c r="G8" s="49"/>
      <c r="H8" s="49"/>
      <c r="I8" s="49"/>
      <c r="J8" s="49"/>
      <c r="K8" s="49"/>
      <c r="L8" s="49"/>
      <c r="M8" s="49"/>
      <c r="N8" s="45"/>
      <c r="O8" s="45"/>
      <c r="P8" s="45"/>
      <c r="Q8" s="45"/>
      <c r="R8" s="45"/>
      <c r="S8" s="45"/>
      <c r="T8" s="45"/>
      <c r="U8" s="45"/>
      <c r="V8" s="45"/>
      <c r="W8" s="45"/>
      <c r="X8" s="45"/>
      <c r="Y8" s="45"/>
      <c r="Z8" s="45"/>
      <c r="AA8" s="45"/>
      <c r="AB8" s="45"/>
      <c r="AC8" s="45"/>
      <c r="AD8" s="45"/>
      <c r="AE8" s="45"/>
      <c r="AF8" s="45"/>
      <c r="AG8" s="45"/>
    </row>
    <row r="9" customFormat="false" ht="14.4" hidden="false" customHeight="false" outlineLevel="0" collapsed="false">
      <c r="A9" s="1"/>
      <c r="B9" s="48" t="s">
        <v>111</v>
      </c>
      <c r="C9" s="49" t="n">
        <f aca="true">IFERROR(INDEX(INDIRECT(C2&amp;"Table"),MATCH(C3,INDIRECT(C2&amp;"Table"&amp;"[Name]"),0),COLUMN(INDIRECT(C2&amp;"Table"&amp;"["&amp;"Type1"&amp;"]"))),0)</f>
        <v>0</v>
      </c>
      <c r="D9" s="49" t="n">
        <f aca="true">IFERROR(INDEX(INDIRECT(C2&amp;"Table"),MATCH(C3,INDIRECT(C2&amp;"Table"&amp;"[Name]"),0),COLUMN(INDIRECT(C2&amp;"Table"&amp;"["&amp;"Type2"&amp;"]"))),0)</f>
        <v>0</v>
      </c>
      <c r="E9" s="49" t="n">
        <f aca="true">IFERROR(INDEX(INDIRECT(C2&amp;"Table"),MATCH(C3,INDIRECT(C2&amp;"Table"&amp;"[Name]"),0),COLUMN(INDIRECT(C2&amp;"Table"&amp;"["&amp;"Type3"&amp;"]"))),0)</f>
        <v>0</v>
      </c>
      <c r="F9" s="50" t="s">
        <v>112</v>
      </c>
      <c r="G9" s="49"/>
      <c r="H9" s="49"/>
      <c r="I9" s="49"/>
      <c r="J9" s="49"/>
      <c r="K9" s="49"/>
      <c r="L9" s="49"/>
      <c r="M9" s="49"/>
      <c r="N9" s="45"/>
      <c r="O9" s="45"/>
      <c r="P9" s="45"/>
      <c r="Q9" s="45"/>
      <c r="R9" s="45"/>
      <c r="S9" s="45"/>
      <c r="T9" s="45"/>
      <c r="U9" s="45"/>
      <c r="V9" s="45"/>
      <c r="W9" s="45"/>
      <c r="X9" s="45"/>
      <c r="Y9" s="45"/>
      <c r="Z9" s="45"/>
      <c r="AA9" s="45"/>
      <c r="AB9" s="45"/>
      <c r="AC9" s="45"/>
      <c r="AD9" s="45"/>
      <c r="AE9" s="45"/>
      <c r="AF9" s="45"/>
      <c r="AG9" s="45"/>
    </row>
    <row r="10" customFormat="false" ht="14.4" hidden="false" customHeight="false" outlineLevel="0" collapsed="false">
      <c r="A10" s="1"/>
      <c r="B10" s="48" t="s">
        <v>113</v>
      </c>
      <c r="C10" s="49" t="n">
        <f aca="true">IFERROR(INDEX(INDIRECT(C2&amp;"Table"),MATCH(C3,INDIRECT(C2&amp;"Table"&amp;"[Name]"),0),COLUMN(INDIRECT(C2&amp;"Table"&amp;"["&amp;"Plane1"&amp;"]"))),0)</f>
        <v>0</v>
      </c>
      <c r="D10" s="49" t="n">
        <f aca="true">IFERROR(INDEX(INDIRECT(C2&amp;"Table"),MATCH(C3,INDIRECT(C2&amp;"Table"&amp;"[Name]"),0),COLUMN(INDIRECT(C2&amp;"Table"&amp;"["&amp;"Plane2"&amp;"]"))),0)</f>
        <v>0</v>
      </c>
      <c r="E10" s="49" t="n">
        <f aca="true">IFERROR(INDEX(INDIRECT(C2&amp;"Table"),MATCH(C3,INDIRECT(C2&amp;"Table"&amp;"[Name]"),0),COLUMN(INDIRECT(C2&amp;"Table"&amp;"["&amp;"Plane3"&amp;"]"))),0)</f>
        <v>0</v>
      </c>
      <c r="F10" s="49"/>
      <c r="G10" s="49"/>
      <c r="H10" s="49"/>
      <c r="I10" s="49"/>
      <c r="J10" s="49"/>
      <c r="K10" s="49"/>
      <c r="L10" s="49"/>
      <c r="M10" s="49"/>
      <c r="N10" s="45"/>
      <c r="O10" s="45"/>
      <c r="P10" s="45"/>
      <c r="Q10" s="45"/>
      <c r="R10" s="45"/>
      <c r="S10" s="45"/>
      <c r="T10" s="45"/>
      <c r="U10" s="45"/>
      <c r="V10" s="45"/>
      <c r="W10" s="45"/>
      <c r="X10" s="45"/>
      <c r="Y10" s="45"/>
      <c r="Z10" s="45"/>
      <c r="AA10" s="45"/>
      <c r="AB10" s="45"/>
      <c r="AC10" s="45"/>
      <c r="AD10" s="45"/>
      <c r="AE10" s="45"/>
      <c r="AF10" s="45"/>
      <c r="AG10" s="45"/>
    </row>
    <row r="11" customFormat="false" ht="14.4" hidden="false" customHeight="false" outlineLevel="0" collapsed="false">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customFormat="false" ht="14.4" hidden="false" customHeight="true" outlineLevel="0" collapsed="false">
      <c r="A12" s="1"/>
      <c r="B12" s="51" t="str">
        <f aca="true">IFERROR(INDEX(INDIRECT(C2&amp;"Table"),MATCH(C3,INDIRECT(C2&amp;"Table"&amp;"[Name]"),0),COLUMN(INDIRECT(C2&amp;"Table"&amp;"["&amp;"[SkillName1]"&amp;"]"))),0)</f>
        <v>Solomon Wargod</v>
      </c>
      <c r="C12" s="51"/>
      <c r="D12" s="52" t="str">
        <f aca="true">IFERROR(INDEX(INDIRECT(C2&amp;"Table"),MATCH(C3,INDIRECT(C2&amp;"Table"&amp;"[Name]"),0),COLUMN(INDIRECT(C2&amp;"Table"&amp;"["&amp;"[Skill1]"&amp;"]"))),0)</f>
        <v>When firing main gun, 5% chance to increase own Firepower, Reload, and Evasion by 20% (40%) for 8 seconds.</v>
      </c>
      <c r="E12" s="52"/>
      <c r="F12" s="52"/>
      <c r="G12" s="52"/>
      <c r="H12" s="52"/>
      <c r="I12" s="52"/>
      <c r="J12" s="52"/>
      <c r="K12" s="52"/>
      <c r="L12" s="52"/>
      <c r="M12" s="52"/>
      <c r="N12" s="52"/>
      <c r="O12" s="52"/>
      <c r="P12" s="52"/>
      <c r="Q12" s="52"/>
      <c r="R12" s="1"/>
      <c r="S12" s="1"/>
      <c r="T12" s="1"/>
      <c r="U12" s="1"/>
      <c r="V12" s="1"/>
      <c r="W12" s="1"/>
      <c r="X12" s="1"/>
      <c r="Y12" s="1"/>
      <c r="Z12" s="1"/>
      <c r="AA12" s="1"/>
      <c r="AB12" s="1"/>
      <c r="AC12" s="1"/>
      <c r="AD12" s="1"/>
      <c r="AE12" s="1"/>
      <c r="AF12" s="1"/>
      <c r="AG12" s="1"/>
    </row>
    <row r="13" customFormat="false" ht="14.4" hidden="false" customHeight="false" outlineLevel="0" collapsed="false">
      <c r="A13" s="1"/>
      <c r="B13" s="51"/>
      <c r="C13" s="51"/>
      <c r="D13" s="52"/>
      <c r="E13" s="52"/>
      <c r="F13" s="52"/>
      <c r="G13" s="52"/>
      <c r="H13" s="52"/>
      <c r="I13" s="52"/>
      <c r="J13" s="52"/>
      <c r="K13" s="52"/>
      <c r="L13" s="52"/>
      <c r="M13" s="52"/>
      <c r="N13" s="52"/>
      <c r="O13" s="52"/>
      <c r="P13" s="52"/>
      <c r="Q13" s="52"/>
      <c r="R13" s="1"/>
      <c r="S13" s="1"/>
      <c r="T13" s="1"/>
      <c r="U13" s="1"/>
      <c r="V13" s="1"/>
      <c r="W13" s="1"/>
      <c r="X13" s="1"/>
      <c r="Y13" s="1"/>
      <c r="Z13" s="1"/>
      <c r="AA13" s="1"/>
      <c r="AB13" s="1"/>
      <c r="AC13" s="1"/>
      <c r="AD13" s="1"/>
      <c r="AE13" s="1"/>
      <c r="AF13" s="1"/>
      <c r="AG13" s="1"/>
    </row>
    <row r="14" customFormat="false" ht="14.4" hidden="false" customHeight="false" outlineLevel="0" collapsed="false">
      <c r="A14" s="1"/>
      <c r="B14" s="51"/>
      <c r="C14" s="51"/>
      <c r="D14" s="52"/>
      <c r="E14" s="52"/>
      <c r="F14" s="52"/>
      <c r="G14" s="52"/>
      <c r="H14" s="52"/>
      <c r="I14" s="52"/>
      <c r="J14" s="52"/>
      <c r="K14" s="52"/>
      <c r="L14" s="52"/>
      <c r="M14" s="52"/>
      <c r="N14" s="52"/>
      <c r="O14" s="52"/>
      <c r="P14" s="52"/>
      <c r="Q14" s="52"/>
      <c r="R14" s="1"/>
      <c r="S14" s="1"/>
      <c r="T14" s="1"/>
      <c r="U14" s="1"/>
      <c r="V14" s="1"/>
      <c r="W14" s="1"/>
      <c r="X14" s="1"/>
      <c r="Y14" s="1"/>
      <c r="Z14" s="1"/>
      <c r="AA14" s="1"/>
      <c r="AB14" s="1"/>
      <c r="AC14" s="1"/>
      <c r="AD14" s="1"/>
      <c r="AE14" s="1"/>
      <c r="AF14" s="1"/>
      <c r="AG14" s="1"/>
    </row>
    <row r="15" customFormat="false" ht="14.4" hidden="false" customHeight="true" outlineLevel="0" collapsed="false">
      <c r="A15" s="1"/>
      <c r="B15" s="51" t="str">
        <f aca="true">IFERROR(INDEX(INDIRECT(C2&amp;"Table"),MATCH(C3,INDIRECT(C2&amp;"Table"&amp;"[Name]"),0),COLUMN(INDIRECT(C2&amp;"Table"&amp;"["&amp;"[SkillName2]"&amp;"]"))),0)</f>
        <v>Full Barrage</v>
      </c>
      <c r="C15" s="51"/>
      <c r="D15" s="52" t="str">
        <f aca="true">IFERROR(INDEX(INDIRECT(C2&amp;"Table"),MATCH(C3,INDIRECT(C2&amp;"Table"&amp;"[Name]"),0),COLUMN(INDIRECT(C2&amp;"Table"&amp;"["&amp;"[Skill2]"&amp;"]"))),0)</f>
        <v>Every 15 (10) times the main battery is fired, triggers Full Barrage - Laffey I (II)</v>
      </c>
      <c r="E15" s="52"/>
      <c r="F15" s="52"/>
      <c r="G15" s="52"/>
      <c r="H15" s="52"/>
      <c r="I15" s="52"/>
      <c r="J15" s="52"/>
      <c r="K15" s="52"/>
      <c r="L15" s="52"/>
      <c r="M15" s="52"/>
      <c r="N15" s="52"/>
      <c r="O15" s="52"/>
      <c r="P15" s="52"/>
      <c r="Q15" s="52"/>
      <c r="R15" s="1"/>
      <c r="S15" s="1"/>
      <c r="T15" s="1"/>
      <c r="U15" s="1"/>
      <c r="V15" s="1"/>
      <c r="W15" s="1"/>
      <c r="X15" s="1"/>
      <c r="Y15" s="1"/>
      <c r="Z15" s="1"/>
      <c r="AA15" s="1"/>
      <c r="AB15" s="1"/>
      <c r="AC15" s="1"/>
      <c r="AD15" s="1"/>
      <c r="AE15" s="1"/>
      <c r="AF15" s="1"/>
      <c r="AG15" s="1"/>
    </row>
    <row r="16" customFormat="false" ht="14.4" hidden="false" customHeight="false" outlineLevel="0" collapsed="false">
      <c r="A16" s="1"/>
      <c r="B16" s="51"/>
      <c r="C16" s="51"/>
      <c r="D16" s="52"/>
      <c r="E16" s="52"/>
      <c r="F16" s="52"/>
      <c r="G16" s="52"/>
      <c r="H16" s="52"/>
      <c r="I16" s="52"/>
      <c r="J16" s="52"/>
      <c r="K16" s="52"/>
      <c r="L16" s="52"/>
      <c r="M16" s="52"/>
      <c r="N16" s="52"/>
      <c r="O16" s="52"/>
      <c r="P16" s="52"/>
      <c r="Q16" s="52"/>
      <c r="R16" s="1"/>
      <c r="S16" s="1"/>
      <c r="T16" s="1"/>
      <c r="U16" s="1"/>
      <c r="V16" s="1"/>
      <c r="W16" s="1"/>
      <c r="X16" s="1"/>
      <c r="Y16" s="1"/>
      <c r="Z16" s="1"/>
      <c r="AA16" s="1"/>
      <c r="AB16" s="1"/>
      <c r="AC16" s="1"/>
      <c r="AD16" s="1"/>
      <c r="AE16" s="1"/>
      <c r="AF16" s="1"/>
      <c r="AG16" s="1"/>
    </row>
    <row r="17" customFormat="false" ht="14.4" hidden="false" customHeight="false" outlineLevel="0" collapsed="false">
      <c r="A17" s="1"/>
      <c r="B17" s="51"/>
      <c r="C17" s="51"/>
      <c r="D17" s="52"/>
      <c r="E17" s="52"/>
      <c r="F17" s="52"/>
      <c r="G17" s="52"/>
      <c r="H17" s="52"/>
      <c r="I17" s="52"/>
      <c r="J17" s="52"/>
      <c r="K17" s="52"/>
      <c r="L17" s="52"/>
      <c r="M17" s="52"/>
      <c r="N17" s="52"/>
      <c r="O17" s="52"/>
      <c r="P17" s="52"/>
      <c r="Q17" s="52"/>
      <c r="R17" s="1"/>
      <c r="S17" s="1"/>
      <c r="T17" s="1"/>
      <c r="U17" s="1"/>
      <c r="V17" s="1"/>
      <c r="W17" s="1"/>
      <c r="X17" s="1"/>
      <c r="Y17" s="1"/>
      <c r="Z17" s="1"/>
      <c r="AA17" s="1"/>
      <c r="AB17" s="1"/>
      <c r="AC17" s="1"/>
      <c r="AD17" s="1"/>
      <c r="AE17" s="1"/>
      <c r="AF17" s="1"/>
      <c r="AG17" s="1"/>
    </row>
    <row r="18" customFormat="false" ht="14.4" hidden="false" customHeight="false" outlineLevel="0" collapsed="false">
      <c r="A18" s="1"/>
      <c r="B18" s="53" t="str">
        <f aca="true">IFERROR(INDEX(INDIRECT(C2&amp;"Table"),MATCH(C3,INDIRECT(C2&amp;"Table"&amp;"[Name]"),0),COLUMN(INDIRECT(C2&amp;"Table"&amp;"["&amp;"[SkillName3]"&amp;"]"))),0)</f>
        <v>N/A</v>
      </c>
      <c r="C18" s="53"/>
      <c r="D18" s="52" t="str">
        <f aca="true">IFERROR(INDEX(INDIRECT(C2&amp;"Table"),MATCH(C3,INDIRECT(C2&amp;"Table"&amp;"[Name]"),0),COLUMN(INDIRECT(C2&amp;"Table"&amp;"["&amp;"[Skill3]"&amp;"]"))),0)</f>
        <v>N/A</v>
      </c>
      <c r="E18" s="52"/>
      <c r="F18" s="52"/>
      <c r="G18" s="52"/>
      <c r="H18" s="52"/>
      <c r="I18" s="52"/>
      <c r="J18" s="52"/>
      <c r="K18" s="52"/>
      <c r="L18" s="52"/>
      <c r="M18" s="52"/>
      <c r="N18" s="52"/>
      <c r="O18" s="52"/>
      <c r="P18" s="52"/>
      <c r="Q18" s="52"/>
      <c r="R18" s="1"/>
      <c r="S18" s="1"/>
      <c r="T18" s="1"/>
      <c r="U18" s="1"/>
      <c r="V18" s="1"/>
      <c r="W18" s="1"/>
      <c r="X18" s="1"/>
      <c r="Y18" s="1"/>
      <c r="Z18" s="1"/>
      <c r="AA18" s="1"/>
      <c r="AB18" s="1"/>
      <c r="AC18" s="1"/>
      <c r="AD18" s="1"/>
      <c r="AE18" s="1"/>
      <c r="AF18" s="1"/>
      <c r="AG18" s="1"/>
    </row>
    <row r="19" customFormat="false" ht="14.4" hidden="false" customHeight="false" outlineLevel="0" collapsed="false">
      <c r="A19" s="1"/>
      <c r="B19" s="53"/>
      <c r="C19" s="53"/>
      <c r="D19" s="52"/>
      <c r="E19" s="52"/>
      <c r="F19" s="52"/>
      <c r="G19" s="52"/>
      <c r="H19" s="52"/>
      <c r="I19" s="52"/>
      <c r="J19" s="52"/>
      <c r="K19" s="52"/>
      <c r="L19" s="52"/>
      <c r="M19" s="52"/>
      <c r="N19" s="52"/>
      <c r="O19" s="52"/>
      <c r="P19" s="52"/>
      <c r="Q19" s="52"/>
      <c r="R19" s="1"/>
      <c r="S19" s="1"/>
      <c r="T19" s="1"/>
      <c r="U19" s="1"/>
      <c r="V19" s="1"/>
      <c r="W19" s="1"/>
      <c r="X19" s="1"/>
      <c r="Y19" s="1"/>
      <c r="Z19" s="1"/>
      <c r="AA19" s="1"/>
      <c r="AB19" s="1"/>
      <c r="AC19" s="1"/>
      <c r="AD19" s="1"/>
      <c r="AE19" s="1"/>
      <c r="AF19" s="1"/>
      <c r="AG19" s="1"/>
    </row>
    <row r="20" customFormat="false" ht="14.4" hidden="false" customHeight="false" outlineLevel="0" collapsed="false">
      <c r="A20" s="1"/>
      <c r="B20" s="53"/>
      <c r="C20" s="53"/>
      <c r="D20" s="52"/>
      <c r="E20" s="52"/>
      <c r="F20" s="52"/>
      <c r="G20" s="52"/>
      <c r="H20" s="52"/>
      <c r="I20" s="52"/>
      <c r="J20" s="52"/>
      <c r="K20" s="52"/>
      <c r="L20" s="52"/>
      <c r="M20" s="52"/>
      <c r="N20" s="52"/>
      <c r="O20" s="52"/>
      <c r="P20" s="52"/>
      <c r="Q20" s="52"/>
      <c r="R20" s="1"/>
      <c r="S20" s="1"/>
      <c r="T20" s="1"/>
      <c r="U20" s="1"/>
      <c r="V20" s="1"/>
      <c r="W20" s="1"/>
      <c r="X20" s="1"/>
      <c r="Y20" s="1"/>
      <c r="Z20" s="1"/>
      <c r="AA20" s="1"/>
      <c r="AB20" s="1"/>
      <c r="AC20" s="1"/>
      <c r="AD20" s="1"/>
      <c r="AE20" s="1"/>
      <c r="AF20" s="1"/>
      <c r="AG20" s="1"/>
    </row>
    <row r="21" customFormat="false" ht="14.4" hidden="false" customHeight="false" outlineLevel="0" collapsed="false">
      <c r="A21" s="1"/>
      <c r="B21" s="53" t="str">
        <f aca="true">IFERROR(INDEX(INDIRECT(C2&amp;"Table"),MATCH(C3,INDIRECT(C2&amp;"Table"&amp;"[Name]"),0),COLUMN(INDIRECT(C2&amp;"Table"&amp;"["&amp;"[SkillName4]"&amp;"]"))),0)</f>
        <v>N/A</v>
      </c>
      <c r="C21" s="53"/>
      <c r="D21" s="52" t="str">
        <f aca="true">IFERROR(INDEX(INDIRECT(C2&amp;"Table"),MATCH(C3,INDIRECT(C2&amp;"Table"&amp;"[Name]"),0),COLUMN(INDIRECT(C2&amp;"Table"&amp;"["&amp;"[Skill4]"&amp;"]"))),0)</f>
        <v>N/A</v>
      </c>
      <c r="E21" s="52"/>
      <c r="F21" s="52"/>
      <c r="G21" s="52"/>
      <c r="H21" s="52"/>
      <c r="I21" s="52"/>
      <c r="J21" s="52"/>
      <c r="K21" s="52"/>
      <c r="L21" s="52"/>
      <c r="M21" s="52"/>
      <c r="N21" s="52"/>
      <c r="O21" s="52"/>
      <c r="P21" s="52"/>
      <c r="Q21" s="52"/>
      <c r="R21" s="1"/>
      <c r="S21" s="1"/>
      <c r="T21" s="1"/>
      <c r="U21" s="1"/>
      <c r="V21" s="1"/>
      <c r="W21" s="1"/>
      <c r="X21" s="1"/>
      <c r="Y21" s="1"/>
      <c r="Z21" s="1"/>
      <c r="AA21" s="1"/>
      <c r="AB21" s="1"/>
      <c r="AC21" s="1"/>
      <c r="AD21" s="1"/>
      <c r="AE21" s="1"/>
      <c r="AF21" s="1"/>
      <c r="AG21" s="1"/>
    </row>
    <row r="22" customFormat="false" ht="14.4" hidden="false" customHeight="false" outlineLevel="0" collapsed="false">
      <c r="A22" s="1"/>
      <c r="B22" s="53"/>
      <c r="C22" s="53"/>
      <c r="D22" s="52"/>
      <c r="E22" s="52"/>
      <c r="F22" s="52"/>
      <c r="G22" s="52"/>
      <c r="H22" s="52"/>
      <c r="I22" s="52"/>
      <c r="J22" s="52"/>
      <c r="K22" s="52"/>
      <c r="L22" s="52"/>
      <c r="M22" s="52"/>
      <c r="N22" s="52"/>
      <c r="O22" s="52"/>
      <c r="P22" s="52"/>
      <c r="Q22" s="52"/>
      <c r="R22" s="1"/>
      <c r="S22" s="1"/>
      <c r="T22" s="1"/>
      <c r="U22" s="1"/>
      <c r="V22" s="1"/>
      <c r="W22" s="1"/>
      <c r="X22" s="1"/>
      <c r="Y22" s="1"/>
      <c r="Z22" s="1"/>
      <c r="AA22" s="1"/>
      <c r="AB22" s="1"/>
      <c r="AC22" s="1"/>
      <c r="AD22" s="1"/>
      <c r="AE22" s="1"/>
      <c r="AF22" s="1"/>
      <c r="AG22" s="1"/>
    </row>
    <row r="23" customFormat="false" ht="14.4" hidden="false" customHeight="false" outlineLevel="0" collapsed="false">
      <c r="A23" s="1"/>
      <c r="B23" s="53"/>
      <c r="C23" s="53"/>
      <c r="D23" s="52"/>
      <c r="E23" s="52"/>
      <c r="F23" s="52"/>
      <c r="G23" s="52"/>
      <c r="H23" s="52"/>
      <c r="I23" s="52"/>
      <c r="J23" s="52"/>
      <c r="K23" s="52"/>
      <c r="L23" s="52"/>
      <c r="M23" s="52"/>
      <c r="N23" s="52"/>
      <c r="O23" s="52"/>
      <c r="P23" s="52"/>
      <c r="Q23" s="52"/>
      <c r="R23" s="1"/>
      <c r="S23" s="1"/>
      <c r="T23" s="1"/>
      <c r="U23" s="1"/>
      <c r="V23" s="1"/>
      <c r="W23" s="1"/>
      <c r="X23" s="1"/>
      <c r="Y23" s="1"/>
      <c r="Z23" s="1"/>
      <c r="AA23" s="1"/>
      <c r="AB23" s="1"/>
      <c r="AC23" s="1"/>
      <c r="AD23" s="1"/>
      <c r="AE23" s="1"/>
      <c r="AF23" s="1"/>
      <c r="AG23" s="1"/>
    </row>
    <row r="24" customFormat="false" ht="14.4"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customFormat="false" ht="14.4"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customFormat="false" ht="14.4"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customFormat="false" ht="14.4"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customFormat="false" ht="14.4"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customFormat="false" ht="14.4"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customFormat="false" ht="14.4"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customFormat="false" ht="14.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sheetData>
  <mergeCells count="9">
    <mergeCell ref="C3:D3"/>
    <mergeCell ref="B12:C14"/>
    <mergeCell ref="D12:Q14"/>
    <mergeCell ref="B15:C17"/>
    <mergeCell ref="D15:Q17"/>
    <mergeCell ref="B18:C20"/>
    <mergeCell ref="D18:Q20"/>
    <mergeCell ref="B21:C23"/>
    <mergeCell ref="D21:Q23"/>
  </mergeCells>
  <dataValidations count="2">
    <dataValidation allowBlank="true" errorStyle="stop" operator="between" showDropDown="false" showErrorMessage="true" showInputMessage="true" sqref="B3" type="list">
      <formula1>INDIRECT("Stype[Ship]")</formula1>
      <formula2>0</formula2>
    </dataValidation>
    <dataValidation allowBlank="true" errorStyle="stop" operator="between" showDropDown="false" showErrorMessage="true" showInputMessage="true" sqref="C3" type="list">
      <formula1>INDIRECT(INDEX(INDIRECT("SType[Type]"), MATCH(B3,INDIRECT("Stype[Ship]"), 0))&amp;"Table[Name]")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7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58984375" defaultRowHeight="14.4" zeroHeight="false" outlineLevelRow="0" outlineLevelCol="0"/>
  <cols>
    <col collapsed="false" customWidth="true" hidden="false" outlineLevel="0" max="2" min="2" style="0" width="5.66"/>
    <col collapsed="false" customWidth="true" hidden="false" outlineLevel="0" max="4" min="3" style="0" width="13.66"/>
    <col collapsed="false" customWidth="true" hidden="false" outlineLevel="0" max="6" min="5" style="0" width="12.66"/>
    <col collapsed="false" customWidth="true" hidden="false" outlineLevel="0" max="8" min="7" style="0" width="13.66"/>
    <col collapsed="false" customWidth="true" hidden="false" outlineLevel="0" max="9" min="9" style="0" width="10.65"/>
    <col collapsed="false" customWidth="true" hidden="false" outlineLevel="0" max="10" min="10" style="0" width="8.89"/>
    <col collapsed="false" customWidth="true" hidden="false" outlineLevel="0" max="12" min="11" style="0" width="9.33"/>
    <col collapsed="false" customWidth="true" hidden="false" outlineLevel="0" max="13" min="13" style="0" width="10.65"/>
    <col collapsed="false" customWidth="true" hidden="false" outlineLevel="0" max="14" min="14" style="0" width="8.89"/>
    <col collapsed="false" customWidth="true" hidden="false" outlineLevel="0" max="15" min="15" style="0" width="9.56"/>
    <col collapsed="false" customWidth="true" hidden="false" outlineLevel="0" max="16" min="16" style="0" width="8.89"/>
    <col collapsed="false" customWidth="true" hidden="false" outlineLevel="0" max="17" min="17" style="0" width="9.56"/>
    <col collapsed="false" customWidth="true" hidden="false" outlineLevel="0" max="19" min="19" style="0" width="9"/>
    <col collapsed="false" customWidth="true" hidden="false" outlineLevel="0" max="24" min="24" style="0" width="8.89"/>
    <col collapsed="false" customWidth="true" hidden="false" outlineLevel="0" max="28" min="26" style="0" width="9.33"/>
    <col collapsed="false" customWidth="true" hidden="false" outlineLevel="0" max="32" min="32" style="54" width="8.89"/>
    <col collapsed="false" customWidth="true" hidden="false" outlineLevel="0" max="33" min="33" style="0" width="10.65"/>
  </cols>
  <sheetData>
    <row r="1" customFormat="false" ht="14.4" hidden="false" customHeight="false" outlineLevel="0" collapsed="false">
      <c r="A1" s="1"/>
      <c r="B1" s="1"/>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55"/>
      <c r="AG1" s="45"/>
      <c r="AH1" s="45"/>
      <c r="AI1" s="45"/>
      <c r="AJ1" s="45"/>
      <c r="AK1" s="45"/>
      <c r="AL1" s="45"/>
      <c r="AM1" s="45"/>
      <c r="AN1" s="45"/>
    </row>
    <row r="2" customFormat="false" ht="13.8" hidden="false" customHeight="false" outlineLevel="0" collapsed="false">
      <c r="A2" s="1"/>
      <c r="B2" s="1"/>
      <c r="C2" s="56" t="s">
        <v>114</v>
      </c>
      <c r="D2" s="15" t="s">
        <v>115</v>
      </c>
      <c r="E2" s="57" t="s">
        <v>116</v>
      </c>
      <c r="F2" s="57" t="s">
        <v>117</v>
      </c>
      <c r="G2" s="57" t="s">
        <v>118</v>
      </c>
      <c r="H2" s="57" t="s">
        <v>106</v>
      </c>
      <c r="I2" s="57" t="s">
        <v>107</v>
      </c>
      <c r="J2" s="12"/>
      <c r="K2" s="16"/>
      <c r="L2" s="16"/>
      <c r="M2" s="16"/>
      <c r="N2" s="16"/>
      <c r="O2" s="16"/>
      <c r="P2" s="16"/>
      <c r="Q2" s="16"/>
      <c r="R2" s="16"/>
      <c r="S2" s="16"/>
      <c r="T2" s="16"/>
      <c r="U2" s="16"/>
      <c r="V2" s="16"/>
      <c r="W2" s="16"/>
      <c r="X2" s="45"/>
      <c r="Y2" s="58" t="s">
        <v>119</v>
      </c>
      <c r="Z2" s="45"/>
      <c r="AA2" s="45"/>
      <c r="AB2" s="45"/>
      <c r="AC2" s="58"/>
      <c r="AD2" s="59" t="s">
        <v>59</v>
      </c>
      <c r="AE2" s="59"/>
      <c r="AF2" s="59"/>
      <c r="AG2" s="45"/>
      <c r="AH2" s="45"/>
      <c r="AI2" s="45"/>
      <c r="AJ2" s="45"/>
      <c r="AK2" s="45"/>
      <c r="AL2" s="45"/>
      <c r="AM2" s="45"/>
      <c r="AN2" s="45"/>
    </row>
    <row r="3" customFormat="false" ht="13.8" hidden="false" customHeight="false" outlineLevel="0" collapsed="false">
      <c r="A3" s="1"/>
      <c r="B3" s="1"/>
      <c r="C3" s="20" t="s">
        <v>96</v>
      </c>
      <c r="D3" s="60" t="str">
        <f aca="false">IFERROR(INDEX(SType[],MATCH(D4,SType[Ship],0),COLUMN(SType[Type])),0)</f>
        <v>Battleship</v>
      </c>
      <c r="E3" s="56" t="s">
        <v>120</v>
      </c>
      <c r="F3" s="56" t="s">
        <v>120</v>
      </c>
      <c r="G3" s="56" t="s">
        <v>50</v>
      </c>
      <c r="H3" s="56" t="s">
        <v>114</v>
      </c>
      <c r="I3" s="56" t="s">
        <v>121</v>
      </c>
      <c r="J3" s="12"/>
      <c r="K3" s="61" t="str">
        <f aca="false">D2</f>
        <v>Duke of York</v>
      </c>
      <c r="L3" s="62"/>
      <c r="M3" s="63" t="s">
        <v>122</v>
      </c>
      <c r="N3" s="63" t="s">
        <v>123</v>
      </c>
      <c r="O3" s="64"/>
      <c r="P3" s="63" t="s">
        <v>124</v>
      </c>
      <c r="Q3" s="64"/>
      <c r="R3" s="63" t="s">
        <v>125</v>
      </c>
      <c r="S3" s="64"/>
      <c r="T3" s="63" t="s">
        <v>126</v>
      </c>
      <c r="U3" s="64"/>
      <c r="V3" s="63" t="s">
        <v>127</v>
      </c>
      <c r="W3" s="30"/>
      <c r="X3" s="63" t="s">
        <v>128</v>
      </c>
      <c r="Y3" s="64"/>
      <c r="Z3" s="63" t="s">
        <v>129</v>
      </c>
      <c r="AA3" s="30"/>
      <c r="AB3" s="45"/>
      <c r="AC3" s="58"/>
      <c r="AD3" s="61" t="s">
        <v>130</v>
      </c>
      <c r="AE3" s="61" t="s">
        <v>131</v>
      </c>
      <c r="AF3" s="65" t="s">
        <v>107</v>
      </c>
      <c r="AG3" s="66" t="s">
        <v>132</v>
      </c>
      <c r="AH3" s="66"/>
      <c r="AI3" s="45"/>
      <c r="AJ3" s="45"/>
      <c r="AK3" s="45"/>
      <c r="AL3" s="45"/>
      <c r="AM3" s="45"/>
      <c r="AN3" s="45"/>
    </row>
    <row r="4" customFormat="false" ht="13.8" hidden="false" customHeight="false" outlineLevel="0" collapsed="false">
      <c r="A4" s="1"/>
      <c r="B4" s="1"/>
      <c r="C4" s="20" t="s">
        <v>97</v>
      </c>
      <c r="D4" s="60" t="str">
        <f aca="false">IFERROR(INDEX(Base[],MATCH(D2,Base[Akashi],0),COLUMN(Base[AR])),0)</f>
        <v>BB</v>
      </c>
      <c r="E4" s="15" t="s">
        <v>133</v>
      </c>
      <c r="F4" s="15" t="s">
        <v>134</v>
      </c>
      <c r="G4" s="15" t="s">
        <v>135</v>
      </c>
      <c r="H4" s="15" t="s">
        <v>136</v>
      </c>
      <c r="I4" s="15" t="s">
        <v>137</v>
      </c>
      <c r="J4" s="12"/>
      <c r="K4" s="67"/>
      <c r="L4" s="68" t="s">
        <v>138</v>
      </c>
      <c r="M4" s="69" t="n">
        <f aca="false">D38+I37+F38+K37+SUM($I$41:$U$41)+M37+O37+Q37+S37+U37+$D$41+(IF(NOT($T$23=0),N32,0)+IF(NOT($T$24=0),P32,0)+IF(NOT($T$25=0),R32,0)+IF(NOT($T$26=0),T32,0)+IF(NOT($T$27=0),V32,0)+IF(NOT($T$28=0),X32,0)+IF(NOT($T$29=0),Z32,0)+D32*$Y$15+F32*$Y$20)/$V$14</f>
        <v>284.658624971767</v>
      </c>
      <c r="N4" s="70" t="n">
        <f aca="false">((D38+I37+F38+K37+M37+O37+Q37+S37+U37+(IF(NOT($T$23=0),N32,0)+IF(NOT($T$24=0),P32,0)+IF(NOT($T$25=0),R32,0)+IF(NOT($T$26=0),T32,0)+IF(NOT($T$27=0),V32,0)+IF(NOT($T$28=0),X32,0)+IF(NOT($T$29=0),Z32,0))/$V$14+(D32*$Y$15+F32*$Y$20)/$V$14)*$AF$26+SUM($I$41:$S$41))+$D$41</f>
        <v>221.409668184771</v>
      </c>
      <c r="O4" s="64"/>
      <c r="P4" s="70" t="n">
        <f aca="false">D38*$Q$9</f>
        <v>221.409668184771</v>
      </c>
      <c r="Q4" s="64"/>
      <c r="R4" s="70" t="n">
        <f aca="false">SUM(N32:Z32)*$AF$26</f>
        <v>0</v>
      </c>
      <c r="S4" s="64"/>
      <c r="T4" s="71" t="n">
        <f aca="false">SUM(V4,X4,Z4)</f>
        <v>9457.02020804364</v>
      </c>
      <c r="U4" s="64"/>
      <c r="V4" s="71" t="n">
        <f aca="false">((D32+$D$35)*FLOOR(($V$14-$M$8*(1-$I$20))/$M$8+IF(FLOOR($V$14/($M$8*(1-$I$20)),1)&gt;0,1,0),1)+D32*$Y$15)*$Q$9</f>
        <v>9457.02020804364</v>
      </c>
      <c r="W4" s="30"/>
      <c r="X4" s="71" t="n">
        <f aca="false">(F32*FLOOR($V$14/$M$9,1)+F32*$Y$20)*$Q$9</f>
        <v>0</v>
      </c>
      <c r="Y4" s="64"/>
      <c r="Z4" s="71" t="n">
        <f aca="false">((N32+$I$40)*FLOOR($V$14/IF($S$23=0,$AF$30,$S$23),1)+(P32+$K$40)*FLOOR($V$14/IF($S$24=0,$AF$30,$S$24),1)+(R32+$M$40)*FLOOR($V$14/IF($S$25=0,$AF$30,$S$25),1)+(T32+$O$40)*FLOOR($V$14/IF($S$26=0,$AF$30,$S$26),1)+(V32+$Q$40)*FLOOR($V$14/IF($S$27=0,$AF$30,$S$27),1)+IF(NOT($T$25=0),R32,0)+(X32+$S$40)*FLOOR($V$14/IF($S$28=0,$AF$30,$S$28),1)+(Z32+$U$40)*FLOOR($V$14/IF($S$29=0,$AF$30,$S$29),1)+(IF(NOT($T$23=0),N32,0)+IF(NOT($T$24=0),P32,0)+IF(NOT($T$26=0),T32,0)+IF(NOT($T$27=0),V32,0)+IF(NOT($T$29=0),Z32,0)))*$Q$9</f>
        <v>0</v>
      </c>
      <c r="AA4" s="30"/>
      <c r="AB4" s="45"/>
      <c r="AC4" s="58"/>
      <c r="AD4" s="61" t="s">
        <v>96</v>
      </c>
      <c r="AE4" s="61" t="str">
        <f aca="true">IFERROR(INDEX(INDIRECT(H3&amp;"Table"),MATCH(H4,INDIRECT(H3&amp;"Table"&amp;"[Name]"),0),COLUMN(INDIRECT(H3&amp;"Table"&amp;"[Ammo]"))),0)</f>
        <v>AP++</v>
      </c>
      <c r="AF4" s="65" t="str">
        <f aca="true">IFERROR(INDEX(INDIRECT(I3&amp;"Table"),MATCH(I4,INDIRECT(I3&amp;"Table"&amp;"[Name]"),0),COLUMN(INDIRECT(I3&amp;"Table"&amp;"[Ammo]"))),0)</f>
        <v>HE+</v>
      </c>
      <c r="AG4" s="61" t="s">
        <v>139</v>
      </c>
      <c r="AH4" s="61" t="str">
        <f aca="true">IFERROR(INDEX(INDIRECT(D3&amp;"Table"),MATCH(D2,INDIRECT(D3&amp;"Table"&amp;"[Name]"),0),COLUMN(INDIRECT(D3&amp;"Table"&amp;"[Nation]"))),0)</f>
        <v>HMS</v>
      </c>
      <c r="AI4" s="45"/>
      <c r="AJ4" s="45"/>
      <c r="AK4" s="45"/>
      <c r="AL4" s="45"/>
      <c r="AM4" s="45"/>
      <c r="AN4" s="45"/>
    </row>
    <row r="5" customFormat="false" ht="14.4" hidden="false" customHeight="false" outlineLevel="0" collapsed="false">
      <c r="A5" s="1"/>
      <c r="B5" s="1"/>
      <c r="C5" s="20" t="s">
        <v>45</v>
      </c>
      <c r="D5" s="72" t="n">
        <f aca="true">IFERROR(INDEX(INDIRECT(D3&amp;"Table"),MATCH(D2,INDIRECT(D3&amp;"Table"&amp;"[Name]"),0),COLUMN(INDIRECT(D3&amp;"Table"&amp;"["&amp;C5&amp;"]"))),0)</f>
        <v>7967</v>
      </c>
      <c r="E5" s="72" t="n">
        <f aca="true">IFERROR(INDEX(INDIRECT(E3&amp;"Table"),MATCH(E4,INDIRECT(E3&amp;"Table"&amp;"[Name]"),0),COLUMN(INDIRECT(E3&amp;"Table"&amp;"["&amp;C5&amp;"]"))),0)</f>
        <v>0</v>
      </c>
      <c r="F5" s="72" t="n">
        <f aca="true">IFERROR(INDEX(INDIRECT(F3&amp;"Table"),MATCH(F4,INDIRECT(F3&amp;"Table"&amp;"[Name]"),0),COLUMN(INDIRECT(F3&amp;"Table"&amp;"["&amp;C5&amp;"]"))),0)</f>
        <v>0</v>
      </c>
      <c r="G5" s="72" t="n">
        <f aca="true">IFERROR(INDEX(INDIRECT(G3&amp;"Table"),MATCH(G4,INDIRECT(G3&amp;"Table"&amp;"[Name]"),0),COLUMN(INDIRECT(G3&amp;"Table"&amp;"["&amp;C5&amp;"]"))),0)</f>
        <v>0</v>
      </c>
      <c r="H5" s="72" t="n">
        <f aca="true">IFERROR(INDEX(INDIRECT(H3&amp;"Table"),MATCH(H4,INDIRECT(H3&amp;"Table"&amp;"[Name]"),0),COLUMN(INDIRECT(H3&amp;"Table"&amp;"["&amp;C5&amp;"]"))),0)</f>
        <v>0</v>
      </c>
      <c r="I5" s="72" t="n">
        <f aca="true">IFERROR(INDEX(INDIRECT(H3&amp;"Table"),MATCH(H4,INDIRECT(H3&amp;"Table"&amp;"[Name]"),0),COLUMN(INDIRECT(H3&amp;"Table"&amp;"["&amp;C5&amp;"]"))),0)</f>
        <v>0</v>
      </c>
      <c r="J5" s="12"/>
      <c r="K5" s="67"/>
      <c r="L5" s="68" t="s">
        <v>140</v>
      </c>
      <c r="M5" s="69" t="n">
        <f aca="false">D39+I38+F39+K38+SUM($I$41:$U$41)+M38+O38+Q38+S38+U38+$D$41+(IF(NOT($T$23=0),N33,0)+IF(NOT($T$24=0),P33,0)+IF(NOT($T$25=0),R33,0)+IF(NOT($T$26=0),T33,0)+IF(NOT($T$27=0),V33,0)+IF(NOT($T$28=0),X33,0)+IF(NOT($T$29=0),Z33,0)+D33*$Y$15+F33*$Y$20)/$V$14</f>
        <v>996.305187401183</v>
      </c>
      <c r="N5" s="70" t="n">
        <f aca="false">((D39+I38+F39+K38+M38+O38+Q38+S38+U38+(IF(NOT($T$23=0),N33,0)+IF(NOT($T$24=0),P33,0)+IF(NOT($T$25=0),R33,0)+IF(NOT($T$26=0),T33,0)+IF(NOT($T$27=0),V33,0)+IF(NOT($T$28=0),X33,0)+IF(NOT($T$29=0),Z33,0))/$V$14+(D33*$Y$15+F33*$Y$20)/$V$14)*$AF$26+SUM($I$41:$S$41))+$D$41</f>
        <v>774.933838646697</v>
      </c>
      <c r="O5" s="64"/>
      <c r="P5" s="70" t="n">
        <f aca="false">D39*$Q$9</f>
        <v>774.933838646697</v>
      </c>
      <c r="Q5" s="64"/>
      <c r="R5" s="70" t="n">
        <f aca="false">SUM(N33:Z33)*$AF$26</f>
        <v>0</v>
      </c>
      <c r="S5" s="64"/>
      <c r="T5" s="71" t="n">
        <f aca="false">SUM(V5,X5,Z5)</f>
        <v>33099.5707281527</v>
      </c>
      <c r="U5" s="64"/>
      <c r="V5" s="71" t="n">
        <f aca="false">((D33+$D$35)*FLOOR(($V$14-$M$8*(1-$I$20))/$M$8+IF(FLOOR($V$14/($M$8*(1-$I$20)),1)&gt;0,1,0),1)+D33*$Y$15)*$Q$9</f>
        <v>33099.5707281527</v>
      </c>
      <c r="W5" s="30"/>
      <c r="X5" s="71" t="n">
        <f aca="false">(F33*FLOOR($V$14/$M$9,1)+F33*$Y$20)*$Q$9</f>
        <v>0</v>
      </c>
      <c r="Y5" s="64"/>
      <c r="Z5" s="71" t="n">
        <f aca="false">((N33+$I$40)*FLOOR($V$14/IF($S$23=0,$AF$30,$S$23),1)+(P33+$K$40)*FLOOR($V$14/IF($S$24=0,$AF$30,$S$24),1)+(R33+$M$40)*FLOOR($V$14/IF($S$25=0,$AF$30,$S$25),1)+(T33+$O$40)*FLOOR($V$14/IF($S$26=0,$AF$30,$S$26),1)+(IF(NOT($T$23=0),N33,0)+IF(NOT($T$24=0),P33,0)+IF(NOT($T$25=0),R33,0)+IF(NOT($T$26=0),T33,0)))*$Q$9</f>
        <v>0</v>
      </c>
      <c r="AA5" s="30"/>
      <c r="AB5" s="45"/>
      <c r="AC5" s="58"/>
      <c r="AD5" s="73" t="s">
        <v>138</v>
      </c>
      <c r="AE5" s="27" t="n">
        <f aca="true">IF(D2="Kitakaze",1.15,IF(D2="Baltimore",0.85,IF(D2="Massachusetts",0.6,IF(AND(D2="Drake",NOT(AE4="AP")),1.25,IFERROR(INDEX(INDIRECT(H3&amp;"Coef"),MATCH(AE4,INDIRECT(H3&amp;"Coef"&amp;"[Ammo]"),0),COLUMN(INDIRECT(H3&amp;"Coef"&amp;"["&amp;AD5&amp;"]"))),0)))))</f>
        <v>0.4</v>
      </c>
      <c r="AF5" s="74" t="n">
        <f aca="true">IF(D2="Kawakaze",1.15,IFERROR(INDEX(INDIRECT(I3&amp;"Coef"),MATCH(AF4,INDIRECT(I3&amp;"Coef"&amp;"[Ammo]"),0),COLUMN(INDIRECT(I3&amp;"Coef"&amp;"["&amp;AD5&amp;"]"))),0))</f>
        <v>1.45</v>
      </c>
      <c r="AG5" s="61" t="s">
        <v>141</v>
      </c>
      <c r="AH5" s="61" t="n">
        <f aca="true">IFERROR(INDEX(INDIRECT($AH$4&amp;"GhostAux"),MATCH($D$4,INDIRECT($AH$4&amp;"GhostAux"&amp;"[ShipType]"),0),COLUMN(INDIRECT($AH$4&amp;"GhostAux"&amp;"["&amp;AG5&amp;"]"))),0)</f>
        <v>0</v>
      </c>
      <c r="AI5" s="45"/>
      <c r="AJ5" s="45"/>
      <c r="AK5" s="45"/>
      <c r="AL5" s="45"/>
      <c r="AM5" s="45"/>
      <c r="AN5" s="45"/>
    </row>
    <row r="6" customFormat="false" ht="14.4" hidden="false" customHeight="false" outlineLevel="0" collapsed="false">
      <c r="A6" s="1"/>
      <c r="B6" s="1"/>
      <c r="C6" s="20" t="s">
        <v>98</v>
      </c>
      <c r="D6" s="72" t="n">
        <f aca="true">IFERROR(INDEX(INDIRECT(D3&amp;"Table"),MATCH(D2,INDIRECT(D3&amp;"Table"&amp;"[Name]"),0),COLUMN(INDIRECT(D3&amp;"Table"&amp;"["&amp;C6&amp;"]"))),0)</f>
        <v>421</v>
      </c>
      <c r="E6" s="72" t="n">
        <f aca="true">IFERROR(INDEX(INDIRECT(E3&amp;"Table"),MATCH(E4,INDIRECT(E3&amp;"Table"&amp;"[Name]"),0),COLUMN(INDIRECT(E3&amp;"Table"&amp;"["&amp;C6&amp;"]"))),0)</f>
        <v>30</v>
      </c>
      <c r="F6" s="72" t="n">
        <f aca="true">IFERROR(INDEX(INDIRECT(F3&amp;"Table"),MATCH(F4,INDIRECT(F3&amp;"Table"&amp;"[Name]"),0),COLUMN(INDIRECT(F3&amp;"Table"&amp;"["&amp;C6&amp;"]"))),0)</f>
        <v>55</v>
      </c>
      <c r="G6" s="72" t="n">
        <f aca="true">IFERROR(INDEX(INDIRECT(G3&amp;"Table"),MATCH(G4,INDIRECT(G3&amp;"Table"&amp;"[Name]"),0),COLUMN(INDIRECT(G3&amp;"Table"&amp;"["&amp;C6&amp;"]"))),0)</f>
        <v>0</v>
      </c>
      <c r="H6" s="72" t="n">
        <f aca="true">IFERROR(INDEX(INDIRECT(H3&amp;"Table"),MATCH(H4,INDIRECT(H3&amp;"Table"&amp;"[Name]"),0),COLUMN(INDIRECT(H3&amp;"Table"&amp;"["&amp;C6&amp;"]"))),0)</f>
        <v>45</v>
      </c>
      <c r="I6" s="72" t="n">
        <f aca="true">IFERROR(INDEX(INDIRECT(I3&amp;"Table"),MATCH(I4,INDIRECT(I3&amp;"Table"&amp;"[Name]"),0),COLUMN(INDIRECT(I3&amp;"Table"&amp;"["&amp;C6&amp;"]"))),0)</f>
        <v>45</v>
      </c>
      <c r="J6" s="12"/>
      <c r="K6" s="67"/>
      <c r="L6" s="68" t="s">
        <v>142</v>
      </c>
      <c r="M6" s="69" t="n">
        <f aca="false">D40+I39+F40+K39+SUM($I$41:$U$41)+M39+O39+Q39+S39+U39+$D$41+(IF(NOT($T$23=0),N34,0)+IF(NOT($T$24=0),P34,0)+IF(NOT($T$25=0),R34,0)+IF(NOT($T$26=0),T34,0)+IF(NOT($T$27=0),V34,0)+IF(NOT($T$28=0),X34,0)+IF(NOT($T$29=0),Z34,0)+D34*$Y$15+F34*$Y$20)/$V$14</f>
        <v>853.9758749153</v>
      </c>
      <c r="N6" s="70" t="n">
        <f aca="false">((D40+I39+F40+K39+M39+O39+Q39+S39+U39+(IF(NOT($T$23=0),N34,0)+IF(NOT($T$24=0),P34,0)+IF(NOT($T$25=0),R34,0)+IF(NOT($T$26=0),T34,0)+IF(NOT($T$27=0),V34,0)+IF(NOT($T$28=0),X34,0)+IF(NOT($T$29=0),Z34,0))/$V$14+(D34*$Y$15+F34*$Y$20)/$V$14)*$AF$26+SUM($I$41:$S$41))+$D$41</f>
        <v>664.229004554312</v>
      </c>
      <c r="O6" s="64"/>
      <c r="P6" s="70" t="n">
        <f aca="false">D40*$Q$9</f>
        <v>664.229004554312</v>
      </c>
      <c r="Q6" s="64"/>
      <c r="R6" s="70" t="n">
        <f aca="false">SUM(N34:Z34)*$AF$26</f>
        <v>0</v>
      </c>
      <c r="S6" s="64"/>
      <c r="T6" s="71" t="n">
        <f aca="false">SUM(V6,X6,Z6)</f>
        <v>28371.0606241309</v>
      </c>
      <c r="U6" s="64"/>
      <c r="V6" s="71" t="n">
        <f aca="false">((D34+$D$35)*FLOOR(($V$14-$M$8*(1-$I$20))/$M$8+IF(FLOOR($V$14/($M$8*(1-$I$20)),1)&gt;0,1,0),1)+D34*$Y$15)*$Q$9</f>
        <v>28371.0606241309</v>
      </c>
      <c r="W6" s="30"/>
      <c r="X6" s="71" t="n">
        <f aca="false">(F34*FLOOR($V$14/$M$9,1)+F34*$Y$20)*$Q$9</f>
        <v>0</v>
      </c>
      <c r="Y6" s="64"/>
      <c r="Z6" s="71" t="n">
        <f aca="false">((N34+$I$40)*FLOOR($V$14/IF($S$23=0,$AF$30,$S$23),1)+(P34+$K$40)*FLOOR($V$14/IF($S$24=0,$AF$30,$S$24),1)+(R34+$M$40)*FLOOR($V$14/IF($S$25=0,$AF$30,$S$25),1)+(T34+$O$40)*FLOOR($V$14/IF($S$26=0,$AF$30,$S$26),1)+(IF(NOT($T$23=0),N34,0)+IF(NOT($T$24=0),P34,0)+IF(NOT($T$25=0),R34,0)+IF(NOT($T$26=0),T34,0)))*$Q$9</f>
        <v>0</v>
      </c>
      <c r="AA6" s="30"/>
      <c r="AB6" s="45"/>
      <c r="AC6" s="58"/>
      <c r="AD6" s="73" t="s">
        <v>140</v>
      </c>
      <c r="AE6" s="27" t="n">
        <f aca="true">IF(D2="Kitakaze",1.15,IF(D2="Baltimore",1.2,IF(D2="Massachusetts",1.35,IF(AND(D2="Drake",NOT(AE4="AP")),1.25,IFERROR(INDEX(INDIRECT(H3&amp;"Coef"),MATCH(AE4,INDIRECT(H3&amp;"Coef"&amp;"[Ammo]"),0),COLUMN(INDIRECT(H3&amp;"Coef"&amp;"["&amp;AD6&amp;"]"))),0)))))</f>
        <v>1.4</v>
      </c>
      <c r="AF6" s="74" t="n">
        <f aca="true">IF(D2="Kawakaze",1.15,IFERROR(INDEX(INDIRECT(I3&amp;"Coef"),MATCH(AF4,INDIRECT(I3&amp;"Coef"&amp;"[Ammo]"),0),COLUMN(INDIRECT(I3&amp;"Coef"&amp;"["&amp;AD6&amp;"]"))),0))</f>
        <v>1.05</v>
      </c>
      <c r="AG6" s="62" t="s">
        <v>138</v>
      </c>
      <c r="AH6" s="72" t="n">
        <f aca="true">IFERROR(INDEX(INDIRECT($AH$4&amp;"GhostAux"),MATCH($D$4,INDIRECT($AH$4&amp;"GhostAux"&amp;"[ShipType]"),0),COLUMN(INDIRECT($AH$4&amp;"GhostAux"&amp;"["&amp;AG6&amp;"]"))),0)</f>
        <v>0</v>
      </c>
      <c r="AI6" s="45"/>
      <c r="AJ6" s="45"/>
      <c r="AK6" s="45"/>
      <c r="AL6" s="45"/>
      <c r="AM6" s="45"/>
      <c r="AN6" s="45"/>
    </row>
    <row r="7" customFormat="false" ht="14.4" hidden="false" customHeight="false" outlineLevel="0" collapsed="false">
      <c r="A7" s="1"/>
      <c r="B7" s="1"/>
      <c r="C7" s="20" t="s">
        <v>99</v>
      </c>
      <c r="D7" s="72" t="n">
        <f aca="true">IFERROR(INDEX(INDIRECT(D3&amp;"Table"),MATCH(D2,INDIRECT(D3&amp;"Table"&amp;"[Name]"),0),COLUMN(INDIRECT(D3&amp;"Table"&amp;"["&amp;C7&amp;"]"))),0)</f>
        <v>0</v>
      </c>
      <c r="E7" s="72" t="n">
        <f aca="true">IFERROR(INDEX(INDIRECT(E3&amp;"Table"),MATCH(E4,INDIRECT(E3&amp;"Table"&amp;"[Name]"),0),COLUMN(INDIRECT(E3&amp;"Table"&amp;"["&amp;C7&amp;"]"))),0)</f>
        <v>0</v>
      </c>
      <c r="F7" s="72" t="n">
        <f aca="true">IFERROR(INDEX(INDIRECT(F3&amp;"Table"),MATCH(F4,INDIRECT(F3&amp;"Table"&amp;"[Name]"),0),COLUMN(INDIRECT(F3&amp;"Table"&amp;"["&amp;C7&amp;"]"))),0)</f>
        <v>0</v>
      </c>
      <c r="G7" s="72" t="n">
        <f aca="true">IFERROR(INDEX(INDIRECT(G3&amp;"Table"),MATCH(G4,INDIRECT(G3&amp;"Table"&amp;"[Name]"),0),COLUMN(INDIRECT(G3&amp;"Table"&amp;"["&amp;C7&amp;"]"))),0)</f>
        <v>0</v>
      </c>
      <c r="H7" s="72" t="n">
        <f aca="true">IFERROR(INDEX(INDIRECT(H3&amp;"Table"),MATCH(H4,INDIRECT(H3&amp;"Table"&amp;"[Name]"),0),COLUMN(INDIRECT(H3&amp;"Table"&amp;"["&amp;C7&amp;"]"))),0)</f>
        <v>0</v>
      </c>
      <c r="I7" s="72" t="n">
        <f aca="true">IFERROR(INDEX(INDIRECT(I3&amp;"Table"),MATCH(I4,INDIRECT(I3&amp;"Table"&amp;"[Name]"),0),COLUMN(INDIRECT(I3&amp;"Table"&amp;"["&amp;C7&amp;"]"))),0)</f>
        <v>0</v>
      </c>
      <c r="J7" s="12"/>
      <c r="K7" s="67"/>
      <c r="L7" s="67"/>
      <c r="M7" s="64"/>
      <c r="N7" s="64"/>
      <c r="O7" s="64"/>
      <c r="P7" s="64"/>
      <c r="Q7" s="64"/>
      <c r="R7" s="75"/>
      <c r="S7" s="64"/>
      <c r="T7" s="64"/>
      <c r="U7" s="64"/>
      <c r="V7" s="64"/>
      <c r="W7" s="64"/>
      <c r="X7" s="64"/>
      <c r="Y7" s="64"/>
      <c r="Z7" s="64"/>
      <c r="AA7" s="64"/>
      <c r="AB7" s="45"/>
      <c r="AC7" s="58"/>
      <c r="AD7" s="73" t="s">
        <v>142</v>
      </c>
      <c r="AE7" s="27" t="n">
        <f aca="true">IF(D2="Kitakaze",1.15,IF(D2="Baltimore",0.85,IF(D2="Massachusetts",1.15,IF(AND(D2="Drake",NOT(AE4="AP")),1.05,IFERROR(INDEX(INDIRECT(H3&amp;"Coef"),MATCH(AE4,INDIRECT(H3&amp;"Coef"&amp;"[Ammo]"),0),COLUMN(INDIRECT(H3&amp;"Coef"&amp;"["&amp;AD7&amp;"]"))),0)))))</f>
        <v>1.2</v>
      </c>
      <c r="AF7" s="74" t="n">
        <f aca="true">IF(D2="Kawakaze",1.15,IFERROR(INDEX(INDIRECT(I3&amp;"Coef"),MATCH(AF4,INDIRECT(I3&amp;"Coef"&amp;"[Ammo]"),0),COLUMN(INDIRECT(I3&amp;"Coef"&amp;"["&amp;AD7&amp;"]"))),0))</f>
        <v>0.7</v>
      </c>
      <c r="AG7" s="62" t="s">
        <v>140</v>
      </c>
      <c r="AH7" s="72" t="n">
        <f aca="true">IFERROR(INDEX(INDIRECT($AH$4&amp;"GhostAux"),MATCH($D$4,INDIRECT($AH$4&amp;"GhostAux"&amp;"[ShipType]"),0),COLUMN(INDIRECT($AH$4&amp;"GhostAux"&amp;"["&amp;AG7&amp;"]"))),0)</f>
        <v>0</v>
      </c>
      <c r="AI7" s="45"/>
      <c r="AJ7" s="45"/>
      <c r="AK7" s="45"/>
      <c r="AL7" s="45"/>
      <c r="AM7" s="45"/>
      <c r="AN7" s="45"/>
    </row>
    <row r="8" customFormat="false" ht="14.4" hidden="false" customHeight="false" outlineLevel="0" collapsed="false">
      <c r="A8" s="1"/>
      <c r="B8" s="1"/>
      <c r="C8" s="20" t="s">
        <v>50</v>
      </c>
      <c r="D8" s="72" t="n">
        <f aca="true">IFERROR(INDEX(INDIRECT(D3&amp;"Table"),MATCH(D2,INDIRECT(D3&amp;"Table"&amp;"[Name]"),0),COLUMN(INDIRECT(D3&amp;"Table"&amp;"["&amp;C8&amp;"]"))),0)</f>
        <v>225</v>
      </c>
      <c r="E8" s="72" t="n">
        <f aca="true">IFERROR(INDEX(INDIRECT(E3&amp;"Table"),MATCH(E4,INDIRECT(E3&amp;"Table"&amp;"[Name]"),0),COLUMN(INDIRECT(E3&amp;"Table"&amp;"["&amp;C8&amp;"]"))),0)</f>
        <v>0</v>
      </c>
      <c r="F8" s="72" t="n">
        <f aca="true">IFERROR(INDEX(INDIRECT(F3&amp;"Table"),MATCH(F4,INDIRECT(F3&amp;"Table"&amp;"[Name]"),0),COLUMN(INDIRECT(F3&amp;"Table"&amp;"["&amp;C8&amp;"]"))),0)</f>
        <v>0</v>
      </c>
      <c r="G8" s="72" t="n">
        <f aca="true">IFERROR(INDEX(INDIRECT(G3&amp;"Table"),MATCH(G4,INDIRECT(G3&amp;"Table"&amp;"[Name]"),0),COLUMN(INDIRECT(G3&amp;"Table"&amp;"["&amp;C8&amp;"]"))),0)</f>
        <v>45</v>
      </c>
      <c r="H8" s="72" t="n">
        <f aca="true">IFERROR(INDEX(INDIRECT(H3&amp;"Table"),MATCH(H4,INDIRECT(H3&amp;"Table"&amp;"[Name]"),0),COLUMN(INDIRECT(H3&amp;"Table"&amp;"["&amp;C8&amp;"]"))),0)</f>
        <v>0</v>
      </c>
      <c r="I8" s="72" t="n">
        <f aca="true">IFERROR(INDEX(INDIRECT(I3&amp;"Table"),MATCH(I4,INDIRECT(I3&amp;"Table"&amp;"[Name]"),0),COLUMN(INDIRECT(I3&amp;"Table"&amp;"["&amp;C8&amp;"]"))),0)</f>
        <v>0</v>
      </c>
      <c r="J8" s="12"/>
      <c r="K8" s="67" t="s">
        <v>143</v>
      </c>
      <c r="L8" s="68"/>
      <c r="M8" s="70" t="n">
        <f aca="false">AF31</f>
        <v>21.3563849437496</v>
      </c>
      <c r="N8" s="64"/>
      <c r="O8" s="67" t="s">
        <v>144</v>
      </c>
      <c r="P8" s="68"/>
      <c r="Q8" s="70" t="n">
        <f aca="false">AF24</f>
        <v>79670</v>
      </c>
      <c r="R8" s="67"/>
      <c r="S8" s="67" t="s">
        <v>145</v>
      </c>
      <c r="T8" s="68"/>
      <c r="U8" s="70" t="n">
        <f aca="false">FLOOR($V$14/M8,1)</f>
        <v>2</v>
      </c>
      <c r="V8" s="64"/>
      <c r="W8" s="27" t="str">
        <f aca="false">H4</f>
        <v>406mm/50</v>
      </c>
      <c r="X8" s="27"/>
      <c r="Y8" s="27" t="str">
        <f aca="false">F4</f>
        <v>Type 1 APS</v>
      </c>
      <c r="Z8" s="30"/>
      <c r="AA8" s="30"/>
      <c r="AB8" s="45"/>
      <c r="AC8" s="58"/>
      <c r="AD8" s="61" t="s">
        <v>146</v>
      </c>
      <c r="AE8" s="76"/>
      <c r="AF8" s="77" t="n">
        <f aca="false">IF(H4="2x410mm Gold", 1.2, 0.6)</f>
        <v>0.6</v>
      </c>
      <c r="AG8" s="62" t="s">
        <v>142</v>
      </c>
      <c r="AH8" s="72" t="n">
        <f aca="true">IFERROR(INDEX(INDIRECT($AH$4&amp;"GhostAux"),MATCH($D$4,INDIRECT($AH$4&amp;"GhostAux"&amp;"[ShipType]"),0),COLUMN(INDIRECT($AH$4&amp;"GhostAux"&amp;"["&amp;AG8&amp;"]"))),0)</f>
        <v>0</v>
      </c>
      <c r="AI8" s="45"/>
      <c r="AJ8" s="45"/>
      <c r="AK8" s="45"/>
      <c r="AL8" s="45"/>
      <c r="AM8" s="45"/>
      <c r="AN8" s="45"/>
    </row>
    <row r="9" customFormat="false" ht="14.4" hidden="false" customHeight="false" outlineLevel="0" collapsed="false">
      <c r="A9" s="1"/>
      <c r="B9" s="1"/>
      <c r="C9" s="20" t="s">
        <v>100</v>
      </c>
      <c r="D9" s="72" t="n">
        <f aca="true">IFERROR(INDEX(INDIRECT(D3&amp;"Table"),MATCH(D2,INDIRECT(D3&amp;"Table"&amp;"[Name]"),0),COLUMN(INDIRECT(D3&amp;"Table"&amp;"["&amp;C9&amp;"]"))),0)</f>
        <v>153</v>
      </c>
      <c r="E9" s="72" t="n">
        <f aca="true">IFERROR(INDEX(INDIRECT(E3&amp;"Table"),MATCH(E4,INDIRECT(E3&amp;"Table"&amp;"[Name]"),0),COLUMN(INDIRECT(E3&amp;"Table"&amp;"["&amp;C9&amp;"]"))),0)</f>
        <v>0</v>
      </c>
      <c r="F9" s="72" t="n">
        <f aca="true">IFERROR(INDEX(INDIRECT(F3&amp;"Table"),MATCH(F4,INDIRECT(F3&amp;"Table"&amp;"[Name]"),0),COLUMN(INDIRECT(F3&amp;"Table"&amp;"["&amp;C9&amp;"]"))),0)</f>
        <v>0</v>
      </c>
      <c r="G9" s="72" t="n">
        <f aca="true">IFERROR(INDEX(INDIRECT(G3&amp;"Table"),MATCH(G4,INDIRECT(G3&amp;"Table"&amp;"[Name]"),0),COLUMN(INDIRECT(G3&amp;"Table"&amp;"["&amp;C9&amp;"]"))),0)</f>
        <v>0</v>
      </c>
      <c r="H9" s="72" t="n">
        <f aca="true">IFERROR(INDEX(INDIRECT(H3&amp;"Table"),MATCH(H4,INDIRECT(H3&amp;"Table"&amp;"[Name]"),0),COLUMN(INDIRECT(H3&amp;"Table"&amp;"["&amp;C9&amp;"]"))),0)</f>
        <v>0</v>
      </c>
      <c r="I9" s="72" t="n">
        <f aca="true">IFERROR(INDEX(INDIRECT(I3&amp;"Table"),MATCH(I4,INDIRECT(I3&amp;"Table"&amp;"[Name]"),0),COLUMN(INDIRECT(I3&amp;"Table"&amp;"["&amp;C9&amp;"]"))),0)</f>
        <v>0</v>
      </c>
      <c r="J9" s="12"/>
      <c r="K9" s="67" t="s">
        <v>147</v>
      </c>
      <c r="L9" s="68"/>
      <c r="M9" s="70" t="n">
        <f aca="false">P20*I17+H19+I18</f>
        <v>3.81312680966895</v>
      </c>
      <c r="N9" s="64"/>
      <c r="O9" s="67" t="s">
        <v>148</v>
      </c>
      <c r="P9" s="78"/>
      <c r="Q9" s="44" t="n">
        <f aca="false">AF26</f>
        <v>0.777807692307692</v>
      </c>
      <c r="R9" s="67"/>
      <c r="S9" s="67" t="s">
        <v>149</v>
      </c>
      <c r="T9" s="78"/>
      <c r="U9" s="70" t="n">
        <f aca="false">FLOOR($V$14/M9,1)</f>
        <v>15</v>
      </c>
      <c r="V9" s="64"/>
      <c r="W9" s="27" t="str">
        <f aca="false">I4</f>
        <v>3x155mm (IJN)</v>
      </c>
      <c r="X9" s="27"/>
      <c r="Y9" s="27" t="str">
        <f aca="false">G4</f>
        <v>2x40mm STAAG</v>
      </c>
      <c r="Z9" s="30"/>
      <c r="AA9" s="30"/>
      <c r="AB9" s="45"/>
      <c r="AC9" s="58"/>
      <c r="AD9" s="61" t="s">
        <v>78</v>
      </c>
      <c r="AE9" s="76"/>
      <c r="AF9" s="77" t="n">
        <f aca="false">(MAX(IF(AND(OR(ISNUMBER(SEARCH("Normal",AE4)),ISNUMBER(SEARCH("AP",AE4)), AE4="Magnetic")),0,IFERROR(INDEX(BurnT[],MATCH(H3,BurnT[Type],0),COLUMN(BurnT[Burn])),0))+IF(D2="Belfast",0.03,IF(D2="Saint Louis",-0.03,IF(D2="Atago",0.12,IF(D2="Drake",0.095,0)))),0))*IF(OR(D2="Baltimore",D2="Massachusetts",D2="Zara"),0,1)*IF(AND(D2="Drake",ISNUMBER(SEARCH("AP",AE4))),0,1)</f>
        <v>0</v>
      </c>
      <c r="AG9" s="62" t="s">
        <v>150</v>
      </c>
      <c r="AH9" s="79" t="n">
        <f aca="true">IFERROR(INDEX(INDIRECT($AH$4&amp;"GhostAux"),MATCH($D$4,INDIRECT($AH$4&amp;"GhostAux"&amp;"[ShipType]"),0),COLUMN(INDIRECT($AH$4&amp;"GhostAux"&amp;"["&amp;AG9&amp;"]"))),0)</f>
        <v>0</v>
      </c>
      <c r="AI9" s="45"/>
      <c r="AJ9" s="45"/>
      <c r="AK9" s="45"/>
      <c r="AL9" s="45"/>
      <c r="AM9" s="45"/>
      <c r="AN9" s="45"/>
    </row>
    <row r="10" customFormat="false" ht="14.4" hidden="false" customHeight="false" outlineLevel="0" collapsed="false">
      <c r="A10" s="1"/>
      <c r="B10" s="1"/>
      <c r="C10" s="20" t="s">
        <v>151</v>
      </c>
      <c r="D10" s="72" t="n">
        <f aca="true">IFERROR(INDEX(INDIRECT(D3&amp;"Table"),MATCH(D2,INDIRECT(D3&amp;"Table"&amp;"[Name]"),0),COLUMN(INDIRECT(D3&amp;"Table"&amp;"["&amp;C10&amp;"]"))),0)+IF(D2="Kitakaze",0.15,0)</f>
        <v>1.35</v>
      </c>
      <c r="E10" s="72" t="n">
        <f aca="true">IFERROR(INDEX(INDIRECT(E3&amp;"Table"),MATCH(E4,INDIRECT(E3&amp;"Table"&amp;"[Name]"),0),COLUMN(INDIRECT(E3&amp;"Table"&amp;"["&amp;C10&amp;"]"))),0)</f>
        <v>0</v>
      </c>
      <c r="F10" s="72" t="n">
        <f aca="true">IFERROR(INDEX(INDIRECT(F3&amp;"Table"),MATCH(F4,INDIRECT(F3&amp;"Table"&amp;"[Name]"),0),COLUMN(INDIRECT(F3&amp;"Table"&amp;"["&amp;C10&amp;"]"))),0)</f>
        <v>0</v>
      </c>
      <c r="G10" s="72" t="n">
        <f aca="true">IFERROR(INDEX(INDIRECT(G3&amp;"Table"),MATCH(G4,INDIRECT(G3&amp;"Table"&amp;"[Name]"),0),COLUMN(INDIRECT(G3&amp;"Table"&amp;"["&amp;C10&amp;"]"))),0)</f>
        <v>0</v>
      </c>
      <c r="H10" s="72" t="n">
        <f aca="true">IFERROR(INDEX(INDIRECT(H3&amp;"Table"),MATCH(H4,INDIRECT(H3&amp;"Table"&amp;"[Name]"),0),COLUMN(INDIRECT(H3&amp;"Table"&amp;"["&amp;C10&amp;"]"))),0)</f>
        <v>1.1</v>
      </c>
      <c r="I10" s="72" t="n">
        <f aca="true">IFERROR(INDEX(INDIRECT(I3&amp;"Table"),MATCH(I4,INDIRECT(I3&amp;"Table"&amp;"[Name]"),0),COLUMN(INDIRECT(I3&amp;"Table"&amp;"["&amp;C10&amp;"]"))),0)</f>
        <v>1.05</v>
      </c>
      <c r="J10" s="12"/>
      <c r="K10" s="67" t="s">
        <v>152</v>
      </c>
      <c r="L10" s="68"/>
      <c r="M10" s="70" t="n">
        <f aca="false">AF30</f>
        <v>21.3563849437496</v>
      </c>
      <c r="N10" s="64"/>
      <c r="O10" s="67" t="s">
        <v>153</v>
      </c>
      <c r="P10" s="78"/>
      <c r="Q10" s="44" t="n">
        <f aca="false">AF28</f>
        <v>0.1</v>
      </c>
      <c r="R10" s="67"/>
      <c r="S10" s="67"/>
      <c r="T10" s="78"/>
      <c r="U10" s="44"/>
      <c r="V10" s="64"/>
      <c r="W10" s="27" t="str">
        <f aca="false">E4</f>
        <v>High Perf. FCR</v>
      </c>
      <c r="X10" s="27"/>
      <c r="Y10" s="27"/>
      <c r="Z10" s="30"/>
      <c r="AA10" s="30"/>
      <c r="AB10" s="45"/>
      <c r="AC10" s="58"/>
      <c r="AD10" s="72"/>
      <c r="AE10" s="72"/>
      <c r="AF10" s="76"/>
      <c r="AG10" s="62" t="s">
        <v>154</v>
      </c>
      <c r="AH10" s="72" t="n">
        <f aca="true">IFERROR(INDEX(INDIRECT($AH$4&amp;"GhostAux"),MATCH($D$4,INDIRECT($AH$4&amp;"GhostAux"&amp;"[ShipType]"),0),COLUMN(INDIRECT($AH$4&amp;"GhostAux"&amp;"["&amp;AG10&amp;"]"))),0)</f>
        <v>0</v>
      </c>
      <c r="AI10" s="45"/>
      <c r="AJ10" s="45"/>
      <c r="AK10" s="45"/>
      <c r="AL10" s="45"/>
      <c r="AM10" s="45"/>
      <c r="AN10" s="45"/>
    </row>
    <row r="11" customFormat="false" ht="14.4" hidden="false" customHeight="false" outlineLevel="0" collapsed="false">
      <c r="A11" s="1"/>
      <c r="B11" s="1"/>
      <c r="C11" s="20" t="s">
        <v>155</v>
      </c>
      <c r="D11" s="72" t="n">
        <f aca="true">IFERROR(INDEX(INDIRECT(D3&amp;"Table"),MATCH(D2,INDIRECT(D3&amp;"Table"&amp;"[Name]"),0),COLUMN(INDIRECT(D3&amp;"Table"&amp;"["&amp;C11&amp;"]"))),0)</f>
        <v>2</v>
      </c>
      <c r="E11" s="72" t="n">
        <f aca="true">IFERROR(INDEX(INDIRECT(E3&amp;"Table"),MATCH(E4,INDIRECT(E3&amp;"Table"&amp;"[Name]"),0),COLUMN(INDIRECT(E3&amp;"Table"&amp;"["&amp;C11&amp;"]"))),0)</f>
        <v>0</v>
      </c>
      <c r="F11" s="72" t="n">
        <f aca="true">IFERROR(INDEX(INDIRECT(F3&amp;"Table"),MATCH(F4,INDIRECT(F3&amp;"Table"&amp;"[Name]"),0),COLUMN(INDIRECT(F3&amp;"Table"&amp;"["&amp;C11&amp;"]"))),0)</f>
        <v>0</v>
      </c>
      <c r="G11" s="72" t="n">
        <f aca="true">IFERROR(INDEX(INDIRECT(G3&amp;"Table"),MATCH(G4,INDIRECT(G3&amp;"Table"&amp;"[Name]"),0),COLUMN(INDIRECT(G3&amp;"Table"&amp;"["&amp;C11&amp;"]"))),0)</f>
        <v>0</v>
      </c>
      <c r="H11" s="72" t="n">
        <f aca="true">IFERROR(INDEX(INDIRECT(H3&amp;"Table"),MATCH(H4,INDIRECT(H3&amp;"Table"&amp;"[Name]"),0),COLUMN(INDIRECT(H3&amp;"Table"&amp;"["&amp;C11&amp;"]"))),0)</f>
        <v>0</v>
      </c>
      <c r="I11" s="72" t="n">
        <f aca="true">IFERROR(INDEX(INDIRECT(I3&amp;"Table"),MATCH(I4,INDIRECT(I3&amp;"Table"&amp;"[Name]"),0),COLUMN(INDIRECT(I3&amp;"Table"&amp;"["&amp;C11&amp;"]"))),0)</f>
        <v>0</v>
      </c>
      <c r="J11" s="12"/>
      <c r="K11" s="80" t="s">
        <v>61</v>
      </c>
      <c r="L11" s="80"/>
      <c r="M11" s="80"/>
      <c r="N11" s="80"/>
      <c r="O11" s="80"/>
      <c r="P11" s="80"/>
      <c r="Q11" s="80"/>
      <c r="R11" s="80"/>
      <c r="S11" s="80"/>
      <c r="T11" s="80"/>
      <c r="U11" s="80"/>
      <c r="V11" s="80"/>
      <c r="W11" s="80"/>
      <c r="X11" s="80"/>
      <c r="Y11" s="80"/>
      <c r="Z11" s="45"/>
      <c r="AA11" s="45"/>
      <c r="AB11" s="45"/>
      <c r="AC11" s="58"/>
      <c r="AD11" s="61" t="s">
        <v>156</v>
      </c>
      <c r="AE11" s="76"/>
      <c r="AF11" s="74" t="n">
        <f aca="false">(IF(AND(OR(H3="BB",D2="Baltimore"),OR(D2="Baltimore",AE4="AP",AE4="AP+")),(1-(1-V16)^(H16*P12))*(V15),0))/6*IF(D2="Massachusetts",0)+1</f>
        <v>1</v>
      </c>
      <c r="AG11" s="62" t="s">
        <v>157</v>
      </c>
      <c r="AH11" s="72" t="n">
        <f aca="true">IFERROR(INDEX(INDIRECT($AH$4&amp;"GhostAux"),MATCH($D$4,INDIRECT($AH$4&amp;"GhostAux"&amp;"[ShipType]"),0),COLUMN(INDIRECT($AH$4&amp;"GhostAux"&amp;"["&amp;AG11&amp;"]"))),0)</f>
        <v>0</v>
      </c>
      <c r="AI11" s="45"/>
      <c r="AJ11" s="45"/>
      <c r="AK11" s="45"/>
      <c r="AL11" s="45"/>
      <c r="AM11" s="45"/>
      <c r="AN11" s="45"/>
    </row>
    <row r="12" customFormat="false" ht="13.8" hidden="false" customHeight="false" outlineLevel="0" collapsed="false">
      <c r="A12" s="1"/>
      <c r="B12" s="1"/>
      <c r="C12" s="20" t="s">
        <v>46</v>
      </c>
      <c r="D12" s="72" t="n">
        <f aca="true">IFERROR(INDEX(INDIRECT(D3&amp;"Table"),MATCH(D2,INDIRECT(D3&amp;"Table"&amp;"[Name]"),0),COLUMN(INDIRECT(D3&amp;"Table"&amp;"["&amp;C12&amp;"]"))),0)</f>
        <v>35</v>
      </c>
      <c r="E12" s="72" t="n">
        <f aca="true">IFERROR(INDEX(INDIRECT(E3&amp;"Table"),MATCH(E4,INDIRECT(E3&amp;"Table"&amp;"[Name]"),0),COLUMN(INDIRECT(E3&amp;"Table"&amp;"["&amp;C12&amp;"]"))),0)</f>
        <v>0</v>
      </c>
      <c r="F12" s="72" t="n">
        <f aca="true">IFERROR(INDEX(INDIRECT(F3&amp;"Table"),MATCH(F4,INDIRECT(F3&amp;"Table"&amp;"[Name]"),0),COLUMN(INDIRECT(F3&amp;"Table"&amp;"["&amp;C12&amp;"]"))),0)</f>
        <v>0</v>
      </c>
      <c r="G12" s="72" t="n">
        <f aca="true">IFERROR(INDEX(INDIRECT(G3&amp;"Table"),MATCH(G4,INDIRECT(G3&amp;"Table"&amp;"[Name]"),0),COLUMN(INDIRECT(G3&amp;"Table"&amp;"["&amp;C12&amp;"]"))),0)</f>
        <v>0</v>
      </c>
      <c r="H12" s="72" t="n">
        <f aca="true">IFERROR(INDEX(INDIRECT(H3&amp;"Table"),MATCH(H4,INDIRECT(H3&amp;"Table"&amp;"[Name]"),0),COLUMN(INDIRECT(H3&amp;"Table"&amp;"["&amp;C12&amp;"]"))),0)</f>
        <v>0</v>
      </c>
      <c r="I12" s="72" t="n">
        <f aca="true">IFERROR(INDEX(INDIRECT(I3&amp;"Table"),MATCH(I4,INDIRECT(I3&amp;"Table"&amp;"[Name]"),0),COLUMN(INDIRECT(I3&amp;"Table"&amp;"["&amp;C12&amp;"]"))),0)</f>
        <v>0</v>
      </c>
      <c r="J12" s="12"/>
      <c r="K12" s="17" t="s">
        <v>158</v>
      </c>
      <c r="L12" s="14"/>
      <c r="M12" s="81" t="n">
        <v>0</v>
      </c>
      <c r="N12" s="82" t="s">
        <v>159</v>
      </c>
      <c r="O12" s="83"/>
      <c r="P12" s="84" t="n">
        <v>3</v>
      </c>
      <c r="Q12" s="85" t="s">
        <v>160</v>
      </c>
      <c r="R12" s="85"/>
      <c r="S12" s="86" t="n">
        <v>1</v>
      </c>
      <c r="T12" s="82" t="s">
        <v>161</v>
      </c>
      <c r="U12" s="82"/>
      <c r="V12" s="86" t="n">
        <v>1</v>
      </c>
      <c r="W12" s="82" t="s">
        <v>162</v>
      </c>
      <c r="X12" s="82"/>
      <c r="Y12" s="86" t="n">
        <v>1</v>
      </c>
      <c r="Z12" s="58"/>
      <c r="AA12" s="58"/>
      <c r="AB12" s="58"/>
      <c r="AC12" s="58"/>
      <c r="AD12" s="72"/>
      <c r="AE12" s="72"/>
      <c r="AF12" s="76"/>
      <c r="AG12" s="62" t="s">
        <v>163</v>
      </c>
      <c r="AH12" s="72" t="n">
        <f aca="true">IFERROR(INDEX(INDIRECT($AH$4&amp;"GhostAux"),MATCH($D$4,INDIRECT($AH$4&amp;"GhostAux"&amp;"[ShipType]"),0),COLUMN(INDIRECT($AH$4&amp;"GhostAux"&amp;"["&amp;AG12&amp;"]"))),0)</f>
        <v>0</v>
      </c>
      <c r="AI12" s="45"/>
      <c r="AJ12" s="45"/>
      <c r="AK12" s="45"/>
      <c r="AL12" s="45"/>
      <c r="AM12" s="45"/>
      <c r="AN12" s="45"/>
    </row>
    <row r="13" customFormat="false" ht="13.8" hidden="false" customHeight="false" outlineLevel="0" collapsed="false">
      <c r="A13" s="1"/>
      <c r="B13" s="1"/>
      <c r="C13" s="20" t="s">
        <v>52</v>
      </c>
      <c r="D13" s="72" t="n">
        <f aca="true">IFERROR(INDEX(INDIRECT(D3&amp;"Table"),MATCH(D2,INDIRECT(D3&amp;"Table"&amp;"[Name]"),0),COLUMN(INDIRECT(D3&amp;"Table"&amp;"["&amp;C13&amp;"]"))),0)</f>
        <v>73</v>
      </c>
      <c r="E13" s="72" t="n">
        <f aca="true">IFERROR(INDEX(INDIRECT(E3&amp;"Table"),MATCH(E4,INDIRECT(E3&amp;"Table"&amp;"[Name]"),0),COLUMN(INDIRECT(E3&amp;"Table"&amp;"["&amp;C13&amp;"]"))),0)</f>
        <v>0</v>
      </c>
      <c r="F13" s="72" t="n">
        <f aca="true">IFERROR(INDEX(INDIRECT(F3&amp;"Table"),MATCH(F4,INDIRECT(F3&amp;"Table"&amp;"[Name]"),0),COLUMN(INDIRECT(F3&amp;"Table"&amp;"["&amp;C13&amp;"]"))),0)</f>
        <v>0</v>
      </c>
      <c r="G13" s="72" t="n">
        <f aca="true">IFERROR(INDEX(INDIRECT(G3&amp;"Table"),MATCH(G4,INDIRECT(G3&amp;"Table"&amp;"[Name]"),0),COLUMN(INDIRECT(G3&amp;"Table"&amp;"["&amp;C13&amp;"]"))),0)</f>
        <v>0</v>
      </c>
      <c r="H13" s="72" t="n">
        <f aca="true">IFERROR(INDEX(INDIRECT(H3&amp;"Table"),MATCH(H4,INDIRECT(H3&amp;"Table"&amp;"[Name]"),0),COLUMN(INDIRECT(H3&amp;"Table"&amp;"["&amp;C13&amp;"]"))),0)</f>
        <v>0</v>
      </c>
      <c r="I13" s="72" t="n">
        <f aca="true">IFERROR(INDEX(INDIRECT(I3&amp;"Table"),MATCH(I4,INDIRECT(I3&amp;"Table"&amp;"[Name]"),0),COLUMN(INDIRECT(I3&amp;"Table"&amp;"["&amp;C13&amp;"]"))),0)</f>
        <v>0</v>
      </c>
      <c r="J13" s="87"/>
      <c r="K13" s="17" t="s">
        <v>164</v>
      </c>
      <c r="L13" s="14"/>
      <c r="M13" s="81" t="n">
        <v>0</v>
      </c>
      <c r="N13" s="82" t="s">
        <v>165</v>
      </c>
      <c r="O13" s="83"/>
      <c r="P13" s="84" t="n">
        <v>1</v>
      </c>
      <c r="Q13" s="85" t="s">
        <v>166</v>
      </c>
      <c r="R13" s="85"/>
      <c r="S13" s="86" t="n">
        <v>1</v>
      </c>
      <c r="T13" s="64"/>
      <c r="U13" s="64"/>
      <c r="V13" s="88"/>
      <c r="W13" s="82" t="s">
        <v>167</v>
      </c>
      <c r="X13" s="82"/>
      <c r="Y13" s="86" t="n">
        <v>0</v>
      </c>
      <c r="Z13" s="58"/>
      <c r="AA13" s="58"/>
      <c r="AB13" s="58"/>
      <c r="AC13" s="58"/>
      <c r="AD13" s="61" t="s">
        <v>168</v>
      </c>
      <c r="AE13" s="76"/>
      <c r="AF13" s="74" t="n">
        <f aca="true">IFERROR(INDEX(INDIRECT(E3&amp;"Table"),MATCH(E4,INDIRECT(E3&amp;"Table"&amp;"[Name]"),0),COLUMN(INDIRECT(E3&amp;"Table"&amp;"[CritDamage]"))),0)+IFERROR(INDEX(INDIRECT(F3&amp;"Table"),MATCH(F4,INDIRECT(F3&amp;"Table"&amp;"[Name]"),0),COLUMN(INDIRECT(F3&amp;"Table"&amp;"[CritDamage]"))),0)</f>
        <v>0.25</v>
      </c>
      <c r="AG13" s="72"/>
      <c r="AH13" s="72"/>
      <c r="AI13" s="45"/>
      <c r="AJ13" s="45"/>
      <c r="AK13" s="45"/>
      <c r="AL13" s="45"/>
      <c r="AM13" s="45"/>
      <c r="AN13" s="45"/>
    </row>
    <row r="14" customFormat="false" ht="14.4" hidden="false" customHeight="false" outlineLevel="0" collapsed="false">
      <c r="A14" s="1"/>
      <c r="B14" s="1"/>
      <c r="C14" s="20" t="s">
        <v>101</v>
      </c>
      <c r="D14" s="72" t="n">
        <f aca="true">IFERROR(INDEX(INDIRECT(D3&amp;"Table"),MATCH(D2,INDIRECT(D3&amp;"Table"&amp;"[Name]"),0),COLUMN(INDIRECT(D3&amp;"Table"&amp;"["&amp;C14&amp;"]"))),0)</f>
        <v>70</v>
      </c>
      <c r="E14" s="72" t="n">
        <f aca="true">IFERROR(INDEX(INDIRECT(E3&amp;"Table"),MATCH(E4,INDIRECT(E3&amp;"Table"&amp;"[Name]"),0),COLUMN(INDIRECT(E3&amp;"Table"&amp;"["&amp;C14&amp;"]"))),0)</f>
        <v>36</v>
      </c>
      <c r="F14" s="72" t="n">
        <f aca="true">IFERROR(INDEX(INDIRECT(F3&amp;"Table"),MATCH(F4,INDIRECT(F3&amp;"Table"&amp;"[Name]"),0),COLUMN(INDIRECT(F3&amp;"Table"&amp;"["&amp;C14&amp;"]"))),0)</f>
        <v>15</v>
      </c>
      <c r="G14" s="72" t="n">
        <f aca="true">IFERROR(INDEX(INDIRECT(G3&amp;"Table"),MATCH(G4,INDIRECT(G3&amp;"Table"&amp;"[Name]"),0),COLUMN(INDIRECT(G3&amp;"Table"&amp;"["&amp;C14&amp;"]"))),0)</f>
        <v>10</v>
      </c>
      <c r="H14" s="72" t="n">
        <f aca="true">IFERROR(INDEX(INDIRECT(H3&amp;"Table"),MATCH(H4,INDIRECT(H3&amp;"Table"&amp;"[Name]"),0),COLUMN(INDIRECT(H3&amp;"Table"&amp;"["&amp;C14&amp;"]"))),0)</f>
        <v>0</v>
      </c>
      <c r="I14" s="72" t="n">
        <f aca="true">IFERROR(INDEX(INDIRECT(I3&amp;"Table"),MATCH(I4,INDIRECT(I3&amp;"Table"&amp;"[Name]"),0),COLUMN(INDIRECT(I3&amp;"Table"&amp;"["&amp;C14&amp;"]"))),0)</f>
        <v>0</v>
      </c>
      <c r="J14" s="12"/>
      <c r="K14" s="17" t="s">
        <v>169</v>
      </c>
      <c r="L14" s="14"/>
      <c r="M14" s="89" t="n">
        <v>0.5</v>
      </c>
      <c r="N14" s="64"/>
      <c r="O14" s="64"/>
      <c r="P14" s="88"/>
      <c r="Q14" s="85" t="s">
        <v>170</v>
      </c>
      <c r="R14" s="85"/>
      <c r="S14" s="86" t="n">
        <v>1</v>
      </c>
      <c r="T14" s="82" t="s">
        <v>88</v>
      </c>
      <c r="U14" s="82"/>
      <c r="V14" s="84" t="n">
        <v>60</v>
      </c>
      <c r="W14" s="82" t="s">
        <v>171</v>
      </c>
      <c r="X14" s="82"/>
      <c r="Y14" s="86" t="n">
        <v>1</v>
      </c>
      <c r="Z14" s="58"/>
      <c r="AA14" s="58"/>
      <c r="AB14" s="58"/>
      <c r="AC14" s="58"/>
      <c r="AD14" s="61" t="s">
        <v>172</v>
      </c>
      <c r="AE14" s="76"/>
      <c r="AF14" s="77" t="n">
        <f aca="true">IFERROR(INDEX(INDIRECT(E3&amp;"Table"),MATCH(E4,INDIRECT(E3&amp;"Table"&amp;"[Name]"),0),COLUMN(INDIRECT(E3&amp;"Table"&amp;"[Crit%]"))),0)+IFERROR(INDEX(INDIRECT(F3&amp;"Table"),MATCH(F4,INDIRECT(F3&amp;"Table"&amp;"[Name]"),0),COLUMN(INDIRECT(F3&amp;"Table"&amp;"[Crit%]"))),0)</f>
        <v>0</v>
      </c>
      <c r="AG14" s="90"/>
      <c r="AH14" s="90"/>
      <c r="AI14" s="45"/>
      <c r="AJ14" s="45"/>
      <c r="AK14" s="45"/>
      <c r="AL14" s="45"/>
      <c r="AM14" s="45"/>
      <c r="AN14" s="45"/>
    </row>
    <row r="15" customFormat="false" ht="13.8" hidden="false" customHeight="false" outlineLevel="0" collapsed="false">
      <c r="A15" s="1"/>
      <c r="B15" s="1"/>
      <c r="C15" s="20" t="s">
        <v>173</v>
      </c>
      <c r="D15" s="72" t="n">
        <v>0</v>
      </c>
      <c r="E15" s="72" t="n">
        <f aca="true">IFERROR(INDEX(INDIRECT(E3&amp;"Table"),MATCH(E4,INDIRECT(E3&amp;"Table"&amp;"[Name]"),0),COLUMN(INDIRECT(E3&amp;"Table"&amp;"["&amp;C15&amp;"]"))),0)</f>
        <v>0</v>
      </c>
      <c r="F15" s="72" t="n">
        <f aca="true">IFERROR(INDEX(INDIRECT(F3&amp;"Table"),MATCH(F4,INDIRECT(F3&amp;"Table"&amp;"[Name]"),0),COLUMN(INDIRECT(F3&amp;"Table"&amp;"["&amp;C15&amp;"]"))),0)</f>
        <v>0</v>
      </c>
      <c r="G15" s="72" t="n">
        <f aca="true">IFERROR(INDEX(INDIRECT(G3&amp;"Table"),MATCH(G4,INDIRECT(G3&amp;"Table"&amp;"[Name]"),0),COLUMN(INDIRECT(G3&amp;"Table"&amp;"["&amp;C15&amp;"]"))),0)</f>
        <v>96</v>
      </c>
      <c r="H15" s="72" t="n">
        <f aca="true">IFERROR(INDEX(INDIRECT(H3&amp;"Table"),MATCH(H4,INDIRECT(H3&amp;"Table"&amp;"[Name]"),0),COLUMN(INDIRECT(H3&amp;"Table"&amp;"["&amp;C15&amp;"]"))),0)</f>
        <v>150</v>
      </c>
      <c r="I15" s="72" t="n">
        <f aca="true">IFERROR(INDEX(INDIRECT(I3&amp;"Table"),MATCH(I4,INDIRECT(I3&amp;"Table"&amp;"[Name]"),0),COLUMN(INDIRECT(I3&amp;"Table"&amp;"["&amp;C15&amp;"]"))),0)</f>
        <v>18</v>
      </c>
      <c r="J15" s="12"/>
      <c r="K15" s="17" t="s">
        <v>174</v>
      </c>
      <c r="L15" s="14"/>
      <c r="M15" s="89" t="n">
        <v>0</v>
      </c>
      <c r="N15" s="82" t="s">
        <v>70</v>
      </c>
      <c r="O15" s="83"/>
      <c r="P15" s="84" t="n">
        <v>25</v>
      </c>
      <c r="Q15" s="85" t="s">
        <v>175</v>
      </c>
      <c r="R15" s="85"/>
      <c r="S15" s="86" t="n">
        <v>1</v>
      </c>
      <c r="T15" s="82" t="s">
        <v>176</v>
      </c>
      <c r="U15" s="82"/>
      <c r="V15" s="86" t="n">
        <v>0.08</v>
      </c>
      <c r="W15" s="82" t="s">
        <v>177</v>
      </c>
      <c r="X15" s="82"/>
      <c r="Y15" s="84" t="n">
        <v>0</v>
      </c>
      <c r="Z15" s="58"/>
      <c r="AA15" s="58"/>
      <c r="AB15" s="58"/>
      <c r="AC15" s="58"/>
      <c r="AD15" s="91" t="s">
        <v>178</v>
      </c>
      <c r="AE15" s="92"/>
      <c r="AF15" s="77" t="n">
        <f aca="false">1+(0.05+((SUM(D14:I14)*S14)/(SUM(D14:I14)*S14+2000+P17))+((SUM(D13:I13)-P15)/5000)+AF14)*(M14+AF13)</f>
        <v>1.08923762466002</v>
      </c>
      <c r="AG15" s="44"/>
      <c r="AH15" s="44"/>
      <c r="AI15" s="45"/>
      <c r="AJ15" s="45"/>
      <c r="AK15" s="45"/>
      <c r="AL15" s="45"/>
      <c r="AM15" s="45"/>
      <c r="AN15" s="45"/>
    </row>
    <row r="16" customFormat="false" ht="14.4" hidden="false" customHeight="false" outlineLevel="0" collapsed="false">
      <c r="A16" s="1"/>
      <c r="B16" s="1"/>
      <c r="C16" s="20" t="s">
        <v>179</v>
      </c>
      <c r="D16" s="72" t="n">
        <v>0</v>
      </c>
      <c r="E16" s="72" t="n">
        <f aca="true">IFERROR(INDEX(INDIRECT(E3&amp;"Table"),MATCH(E4,INDIRECT(E3&amp;"Table"&amp;"[Name]"),0),COLUMN(INDIRECT(E3&amp;"Table"&amp;"["&amp;C16&amp;"]"))),0)</f>
        <v>0</v>
      </c>
      <c r="F16" s="72" t="n">
        <f aca="true">IFERROR(INDEX(INDIRECT(F3&amp;"Table"),MATCH(F4,INDIRECT(F3&amp;"Table"&amp;"[Name]"),0),COLUMN(INDIRECT(F3&amp;"Table"&amp;"["&amp;C16&amp;"]"))),0)</f>
        <v>0</v>
      </c>
      <c r="G16" s="72" t="n">
        <f aca="true">IFERROR(INDEX(INDIRECT(G3&amp;"Table"),MATCH(G4,INDIRECT(G3&amp;"Table"&amp;"[Name]"),0),COLUMN(INDIRECT(G3&amp;"Table"&amp;"["&amp;C16&amp;"]"))),0)</f>
        <v>0</v>
      </c>
      <c r="H16" s="72" t="n">
        <f aca="true">IFERROR(INDEX(INDIRECT(H3&amp;"Table"),MATCH(H4,INDIRECT(H3&amp;"Table"&amp;"[Name]"),0),COLUMN(INDIRECT(H3&amp;"Table"&amp;"["&amp;C16&amp;"]"))),0)</f>
        <v>3</v>
      </c>
      <c r="I16" s="72" t="n">
        <f aca="true">IFERROR(INDEX(INDIRECT(I3&amp;"Table"),MATCH(I4,INDIRECT(I3&amp;"Table"&amp;"[Name]"),0),COLUMN(INDIRECT(I3&amp;"Table"&amp;"["&amp;C16&amp;"]"))),0)</f>
        <v>6</v>
      </c>
      <c r="J16" s="12"/>
      <c r="K16" s="17" t="s">
        <v>180</v>
      </c>
      <c r="L16" s="14"/>
      <c r="M16" s="89" t="n">
        <v>0</v>
      </c>
      <c r="N16" s="82" t="s">
        <v>64</v>
      </c>
      <c r="O16" s="83"/>
      <c r="P16" s="84" t="n">
        <v>0</v>
      </c>
      <c r="Q16" s="85" t="s">
        <v>181</v>
      </c>
      <c r="R16" s="85"/>
      <c r="S16" s="86" t="n">
        <v>1</v>
      </c>
      <c r="T16" s="82" t="s">
        <v>182</v>
      </c>
      <c r="U16" s="82"/>
      <c r="V16" s="86" t="n">
        <v>0.2</v>
      </c>
      <c r="W16" s="64"/>
      <c r="X16" s="64"/>
      <c r="Y16" s="88"/>
      <c r="Z16" s="58"/>
      <c r="AA16" s="58"/>
      <c r="AB16" s="58"/>
      <c r="AC16" s="58"/>
      <c r="AD16" s="91" t="s">
        <v>183</v>
      </c>
      <c r="AE16" s="92"/>
      <c r="AF16" s="77" t="n">
        <f aca="false">1+IF(AF20&gt;1,1,(M13+0.05+((SUM(D14:I14)*S14)/(SUM(D14:I14)*S14+2000+P17))+((SUM(D13:I13)-P15)/5000)+AF14))*(M14+AF13+M16)</f>
        <v>1.08923762466002</v>
      </c>
      <c r="AG16" s="44"/>
      <c r="AH16" s="44"/>
      <c r="AI16" s="45"/>
      <c r="AJ16" s="45"/>
      <c r="AK16" s="45"/>
      <c r="AL16" s="45"/>
      <c r="AM16" s="45"/>
      <c r="AN16" s="45"/>
    </row>
    <row r="17" customFormat="false" ht="14.4" hidden="false" customHeight="false" outlineLevel="0" collapsed="false">
      <c r="A17" s="1"/>
      <c r="B17" s="1"/>
      <c r="C17" s="20" t="s">
        <v>184</v>
      </c>
      <c r="D17" s="72" t="n">
        <v>0</v>
      </c>
      <c r="E17" s="72" t="n">
        <f aca="true">IFERROR(INDEX(INDIRECT(E3&amp;"Table"),MATCH(E4,INDIRECT(E3&amp;"Table"&amp;"[Name]"),0),COLUMN(INDIRECT(E3&amp;"Table"&amp;"["&amp;C17&amp;"]"))),0)</f>
        <v>0</v>
      </c>
      <c r="F17" s="72" t="n">
        <f aca="true">IFERROR(INDEX(INDIRECT(F3&amp;"Table"),MATCH(F4,INDIRECT(F3&amp;"Table"&amp;"[Name]"),0),COLUMN(INDIRECT(F3&amp;"Table"&amp;"["&amp;C17&amp;"]"))),0)</f>
        <v>0</v>
      </c>
      <c r="G17" s="72" t="n">
        <f aca="true">IFERROR(INDEX(INDIRECT(G3&amp;"Table"),MATCH(G4,INDIRECT(G3&amp;"Table"&amp;"[Name]"),0),COLUMN(INDIRECT(G3&amp;"Table"&amp;"["&amp;C17&amp;"]"))),0)</f>
        <v>0.8</v>
      </c>
      <c r="H17" s="72" t="n">
        <f aca="true">IFERROR(INDEX(INDIRECT(H3&amp;"Table"),MATCH(H4,INDIRECT(H3&amp;"Table"&amp;"[Name]"),0),COLUMN(INDIRECT(H3&amp;"Table"&amp;"["&amp;C17&amp;"]"))),0)</f>
        <v>24.02</v>
      </c>
      <c r="I17" s="72" t="n">
        <f aca="true">IFERROR(INDEX(INDIRECT(I3&amp;"Table"),MATCH(I4,INDIRECT(I3&amp;"Table"&amp;"[Name]"),0),COLUMN(INDIRECT(I3&amp;"Table"&amp;"["&amp;C17&amp;"]"))),0)</f>
        <v>4.12</v>
      </c>
      <c r="J17" s="12"/>
      <c r="K17" s="64"/>
      <c r="L17" s="64"/>
      <c r="M17" s="88"/>
      <c r="N17" s="82" t="s">
        <v>185</v>
      </c>
      <c r="O17" s="83"/>
      <c r="P17" s="84" t="n">
        <v>75</v>
      </c>
      <c r="Q17" s="85" t="s">
        <v>186</v>
      </c>
      <c r="R17" s="85"/>
      <c r="S17" s="86" t="n">
        <v>1</v>
      </c>
      <c r="T17" s="64"/>
      <c r="U17" s="64"/>
      <c r="V17" s="88"/>
      <c r="W17" s="82" t="s">
        <v>187</v>
      </c>
      <c r="X17" s="82"/>
      <c r="Y17" s="86" t="n">
        <v>1</v>
      </c>
      <c r="Z17" s="58"/>
      <c r="AA17" s="58"/>
      <c r="AB17" s="58"/>
      <c r="AC17" s="58"/>
      <c r="AD17" s="91" t="s">
        <v>188</v>
      </c>
      <c r="AE17" s="92"/>
      <c r="AF17" s="77" t="n">
        <f aca="false">1+IF(AF19&gt;1,1,(M12+0.05+((SUM(D14:I14)*S14)/(SUM(D14:I14)*S14+2000+P17))+((SUM(D13:I13)-P15)/5000)+AF14))*(M14+AF13+M15)</f>
        <v>1.08923762466002</v>
      </c>
      <c r="AG17" s="44"/>
      <c r="AH17" s="44"/>
      <c r="AI17" s="45"/>
      <c r="AJ17" s="45"/>
      <c r="AK17" s="45"/>
      <c r="AL17" s="45"/>
      <c r="AM17" s="45"/>
      <c r="AN17" s="45"/>
    </row>
    <row r="18" customFormat="false" ht="14.4" hidden="false" customHeight="false" outlineLevel="0" collapsed="false">
      <c r="A18" s="1"/>
      <c r="B18" s="1"/>
      <c r="C18" s="20" t="s">
        <v>189</v>
      </c>
      <c r="D18" s="72" t="n">
        <f aca="false">SUM(D6:I6)</f>
        <v>596</v>
      </c>
      <c r="E18" s="93"/>
      <c r="F18" s="93"/>
      <c r="G18" s="92" t="s">
        <v>154</v>
      </c>
      <c r="H18" s="72" t="n">
        <f aca="true">IFERROR(INDEX(INDIRECT(H3&amp;"Table"),MATCH(H4,INDIRECT(H3&amp;"Table"&amp;"[Name]"),0),COLUMN(INDIRECT(H3&amp;"Table"&amp;"["&amp;G18&amp;"]"))),0)</f>
        <v>0</v>
      </c>
      <c r="I18" s="72" t="n">
        <f aca="true">IFERROR(INDEX(INDIRECT(I3&amp;"Table"),MATCH(I4,INDIRECT(I3&amp;"Table"&amp;"[Name]"),0),COLUMN(INDIRECT(I3&amp;"Table"&amp;"["&amp;G18&amp;"]"))),0)</f>
        <v>0.15</v>
      </c>
      <c r="J18" s="12"/>
      <c r="K18" s="82" t="s">
        <v>63</v>
      </c>
      <c r="L18" s="82"/>
      <c r="M18" s="86" t="n">
        <v>0</v>
      </c>
      <c r="N18" s="82" t="s">
        <v>190</v>
      </c>
      <c r="O18" s="83"/>
      <c r="P18" s="86" t="n">
        <v>0</v>
      </c>
      <c r="Q18" s="64"/>
      <c r="R18" s="64"/>
      <c r="S18" s="88"/>
      <c r="T18" s="64"/>
      <c r="U18" s="64"/>
      <c r="V18" s="88"/>
      <c r="W18" s="82" t="s">
        <v>191</v>
      </c>
      <c r="X18" s="82"/>
      <c r="Y18" s="86" t="n">
        <v>0</v>
      </c>
      <c r="Z18" s="58"/>
      <c r="AA18" s="58"/>
      <c r="AB18" s="58"/>
      <c r="AC18" s="58"/>
      <c r="AD18" s="91" t="s">
        <v>192</v>
      </c>
      <c r="AE18" s="92"/>
      <c r="AF18" s="77" t="n">
        <f aca="false">1+(0.05+((SUM(D14:I14)*S14)/(SUM(D14:I14)*S14+2000+P17))+((SUM(D13:I13)-P15)/5000))*(M14)</f>
        <v>1.05949174977335</v>
      </c>
      <c r="AG18" s="44"/>
      <c r="AH18" s="44"/>
      <c r="AI18" s="45"/>
      <c r="AJ18" s="45"/>
      <c r="AK18" s="45"/>
      <c r="AL18" s="45"/>
      <c r="AM18" s="45"/>
      <c r="AN18" s="45"/>
    </row>
    <row r="19" customFormat="false" ht="13.8" hidden="false" customHeight="false" outlineLevel="0" collapsed="false">
      <c r="A19" s="1"/>
      <c r="B19" s="1"/>
      <c r="C19" s="20" t="s">
        <v>193</v>
      </c>
      <c r="D19" s="72" t="n">
        <f aca="false">SUM(D7:I7)</f>
        <v>0</v>
      </c>
      <c r="E19" s="93"/>
      <c r="F19" s="93"/>
      <c r="G19" s="92" t="s">
        <v>194</v>
      </c>
      <c r="H19" s="72" t="n">
        <f aca="false">IFERROR(INDEX(BurnT[],MATCH(C2,BurnT[Type],0),COLUMN(BurnT[CD])),0)</f>
        <v>0</v>
      </c>
      <c r="I19" s="72" t="n">
        <f aca="false">IFERROR(INDEX(BurnT[],MATCH(C2,BurnT[Type],0),COLUMN(BurnT[CD])),0)*IF(I3="TORP",0,1)</f>
        <v>0</v>
      </c>
      <c r="J19" s="12"/>
      <c r="K19" s="82" t="s">
        <v>69</v>
      </c>
      <c r="L19" s="82"/>
      <c r="M19" s="86" t="n">
        <v>1</v>
      </c>
      <c r="N19" s="82" t="s">
        <v>195</v>
      </c>
      <c r="O19" s="83"/>
      <c r="P19" s="86" t="n">
        <v>1</v>
      </c>
      <c r="Q19" s="82" t="s">
        <v>196</v>
      </c>
      <c r="R19" s="94"/>
      <c r="S19" s="86" t="n">
        <v>0</v>
      </c>
      <c r="T19" s="64"/>
      <c r="U19" s="64"/>
      <c r="V19" s="88"/>
      <c r="W19" s="82" t="s">
        <v>197</v>
      </c>
      <c r="X19" s="82"/>
      <c r="Y19" s="86" t="n">
        <v>1</v>
      </c>
      <c r="Z19" s="58"/>
      <c r="AA19" s="58"/>
      <c r="AB19" s="58"/>
      <c r="AC19" s="58"/>
      <c r="AD19" s="91" t="s">
        <v>198</v>
      </c>
      <c r="AE19" s="92"/>
      <c r="AF19" s="77" t="n">
        <f aca="false">(M12+0.05+((SUM(D14:I14)*S14)/(SUM(D14:I14)*S14+2000+P17))+((SUM(D13:I13)-P15)/5000)+AF14)</f>
        <v>0.118983499546691</v>
      </c>
      <c r="AG19" s="44"/>
      <c r="AH19" s="44"/>
      <c r="AI19" s="45"/>
      <c r="AJ19" s="45"/>
      <c r="AK19" s="45"/>
      <c r="AL19" s="45"/>
      <c r="AM19" s="45"/>
      <c r="AN19" s="45"/>
    </row>
    <row r="20" customFormat="false" ht="14.4" hidden="false" customHeight="false" outlineLevel="0" collapsed="false">
      <c r="A20" s="1"/>
      <c r="B20" s="1"/>
      <c r="C20" s="20" t="s">
        <v>199</v>
      </c>
      <c r="D20" s="72" t="n">
        <f aca="false">SUM(D8:I8)</f>
        <v>270</v>
      </c>
      <c r="E20" s="93"/>
      <c r="F20" s="93"/>
      <c r="G20" s="92" t="s">
        <v>200</v>
      </c>
      <c r="H20" s="92"/>
      <c r="I20" s="90" t="n">
        <f aca="false">IF(OR(E4="High Perf. FCR",F4="High Perf. FCR"),0.15,0)</f>
        <v>0.15</v>
      </c>
      <c r="J20" s="12"/>
      <c r="K20" s="82" t="s">
        <v>201</v>
      </c>
      <c r="L20" s="82"/>
      <c r="M20" s="86" t="n">
        <v>0</v>
      </c>
      <c r="N20" s="57" t="s">
        <v>202</v>
      </c>
      <c r="O20" s="83"/>
      <c r="P20" s="95" t="n">
        <f aca="false">SQRT(200/(100+SUM(D9:I9)*(P19)))*(1-P18)</f>
        <v>0.889108448948774</v>
      </c>
      <c r="Q20" s="82" t="s">
        <v>203</v>
      </c>
      <c r="R20" s="82"/>
      <c r="S20" s="84" t="n">
        <f aca="false">D20*S19</f>
        <v>0</v>
      </c>
      <c r="T20" s="64"/>
      <c r="U20" s="64"/>
      <c r="V20" s="88"/>
      <c r="W20" s="82" t="s">
        <v>204</v>
      </c>
      <c r="X20" s="82"/>
      <c r="Y20" s="84" t="n">
        <v>0</v>
      </c>
      <c r="Z20" s="58"/>
      <c r="AA20" s="58"/>
      <c r="AB20" s="58"/>
      <c r="AC20" s="58"/>
      <c r="AD20" s="91" t="s">
        <v>205</v>
      </c>
      <c r="AE20" s="92"/>
      <c r="AF20" s="77" t="n">
        <f aca="false">(M13+0.05+((SUM(D14:I14)*S14)/(SUM(D14:I14)*S14+2000+P17))+((SUM(D13:I13)-P15)/5000)+AF14)</f>
        <v>0.118983499546691</v>
      </c>
      <c r="AG20" s="44"/>
      <c r="AH20" s="44"/>
      <c r="AI20" s="45"/>
      <c r="AJ20" s="45"/>
      <c r="AK20" s="45"/>
      <c r="AL20" s="45"/>
      <c r="AM20" s="45"/>
      <c r="AN20" s="45"/>
    </row>
    <row r="21" customFormat="false" ht="14.4" hidden="false" customHeight="false" outlineLevel="0" collapsed="false">
      <c r="A21" s="1"/>
      <c r="B21" s="1"/>
      <c r="C21" s="1"/>
      <c r="D21" s="1"/>
      <c r="E21" s="1"/>
      <c r="F21" s="1"/>
      <c r="G21" s="1"/>
      <c r="H21" s="1"/>
      <c r="I21" s="1"/>
      <c r="J21" s="96"/>
      <c r="K21" s="96"/>
      <c r="L21" s="96"/>
      <c r="M21" s="96"/>
      <c r="N21" s="96"/>
      <c r="O21" s="58"/>
      <c r="P21" s="58"/>
      <c r="Q21" s="58"/>
      <c r="R21" s="58"/>
      <c r="S21" s="58"/>
      <c r="T21" s="58"/>
      <c r="U21" s="58"/>
      <c r="V21" s="58"/>
      <c r="W21" s="58"/>
      <c r="X21" s="58"/>
      <c r="Y21" s="58"/>
      <c r="Z21" s="58"/>
      <c r="AA21" s="58"/>
      <c r="AB21" s="58"/>
      <c r="AC21" s="58"/>
      <c r="AD21" s="72"/>
      <c r="AE21" s="72"/>
      <c r="AF21" s="97"/>
      <c r="AG21" s="72"/>
      <c r="AH21" s="72"/>
      <c r="AI21" s="45"/>
      <c r="AJ21" s="45"/>
      <c r="AK21" s="45"/>
      <c r="AL21" s="45"/>
      <c r="AM21" s="45"/>
      <c r="AN21" s="45"/>
    </row>
    <row r="22" customFormat="false" ht="14.4" hidden="false" customHeight="false" outlineLevel="0" collapsed="false">
      <c r="A22" s="1"/>
      <c r="B22" s="1"/>
      <c r="C22" s="57" t="s">
        <v>206</v>
      </c>
      <c r="D22" s="57"/>
      <c r="E22" s="57" t="s">
        <v>207</v>
      </c>
      <c r="F22" s="57" t="s">
        <v>208</v>
      </c>
      <c r="G22" s="57" t="s">
        <v>209</v>
      </c>
      <c r="H22" s="57" t="s">
        <v>138</v>
      </c>
      <c r="I22" s="57" t="s">
        <v>140</v>
      </c>
      <c r="J22" s="57" t="s">
        <v>142</v>
      </c>
      <c r="K22" s="57" t="s">
        <v>78</v>
      </c>
      <c r="L22" s="57" t="s">
        <v>210</v>
      </c>
      <c r="M22" s="57" t="s">
        <v>211</v>
      </c>
      <c r="N22" s="57" t="s">
        <v>212</v>
      </c>
      <c r="O22" s="98" t="s">
        <v>213</v>
      </c>
      <c r="P22" s="98"/>
      <c r="Q22" s="99" t="s">
        <v>175</v>
      </c>
      <c r="R22" s="100" t="s">
        <v>214</v>
      </c>
      <c r="S22" s="99" t="s">
        <v>215</v>
      </c>
      <c r="T22" s="98" t="s">
        <v>216</v>
      </c>
      <c r="U22" s="98"/>
      <c r="V22" s="58"/>
      <c r="W22" s="58"/>
      <c r="X22" s="58"/>
      <c r="Y22" s="58"/>
      <c r="Z22" s="45"/>
      <c r="AA22" s="45"/>
      <c r="AB22" s="45"/>
      <c r="AC22" s="58"/>
      <c r="AD22" s="72"/>
      <c r="AE22" s="72"/>
      <c r="AF22" s="97"/>
      <c r="AG22" s="72"/>
      <c r="AH22" s="72"/>
      <c r="AI22" s="45"/>
      <c r="AJ22" s="45"/>
      <c r="AK22" s="45"/>
      <c r="AL22" s="45"/>
      <c r="AM22" s="45"/>
      <c r="AN22" s="45"/>
    </row>
    <row r="23" customFormat="false" ht="13.8" hidden="false" customHeight="false" outlineLevel="0" collapsed="false">
      <c r="A23" s="1"/>
      <c r="B23" s="1"/>
      <c r="C23" s="72" t="str">
        <f aca="true">IFERROR(INDEX(INDIRECT(D3&amp;"Table"),MATCH(D2,INDIRECT(D3&amp;"Table"&amp;"[Name]"),0),COLUMN(INDIRECT(D3&amp;"Table"&amp;"[Barg1]"))),0)</f>
        <v>Concerto of Blood</v>
      </c>
      <c r="D23" s="72"/>
      <c r="E23" s="72" t="n">
        <f aca="false">IFERROR(INDEX(Barrage[],MATCH(C23,Barrage[Name],0),COLUMN(Barrage[Total Damage])),0)</f>
        <v>475.2</v>
      </c>
      <c r="F23" s="72" t="n">
        <f aca="false">IFERROR(INDEX(Barrage[],MATCH(C23,Barrage[Name],0),COLUMN(Barrage[Base Damage])),0)</f>
        <v>108</v>
      </c>
      <c r="G23" s="72" t="n">
        <f aca="false">IFERROR(INDEX(Barrage[],MATCH(C23,Barrage[Name],0),COLUMN(Barrage[Total Rounds])),0)</f>
        <v>4</v>
      </c>
      <c r="H23" s="72" t="n">
        <f aca="false">IFERROR(INDEX(Barrage[],MATCH(C23,Barrage[Name],0),COLUMN(Barrage[Light Armor])),0)</f>
        <v>0.7</v>
      </c>
      <c r="I23" s="72" t="n">
        <f aca="false">IFERROR(INDEX(Barrage[],MATCH(C23,Barrage[Name],0),COLUMN(Barrage[Medium Armor])),0)</f>
        <v>1</v>
      </c>
      <c r="J23" s="72" t="n">
        <f aca="false">IFERROR(INDEX(Barrage[],MATCH(C23,Barrage[Name],0),COLUMN(Barrage[Heavy Armor])),0)</f>
        <v>0.9</v>
      </c>
      <c r="K23" s="72" t="n">
        <f aca="false">IFERROR(INDEX(Barrage[],MATCH(C23,Barrage[Name],0),COLUMN(Barrage[Burn %])),0)</f>
        <v>0</v>
      </c>
      <c r="L23" s="72" t="str">
        <f aca="false">IFERROR(INDEX(Barrage[],MATCH(C23,Barrage[Name],0),COLUMN(Barrage[Type2])),0)</f>
        <v>FP</v>
      </c>
      <c r="M23" s="72" t="n">
        <f aca="false">IFERROR(INDEX(Barrage[],MATCH(C23,Barrage[Name],0),COLUMN(Barrage[Stat Mod])),0)</f>
        <v>1</v>
      </c>
      <c r="N23" s="90" t="n">
        <f aca="false">IF(O23="Y",IF(L23="FP",$AF$17,$AF$16),IFERROR(INDEX(Barrage[],MATCH(C23,Barrage[Name],0),COLUMN(Barrage[Crit %])),0))</f>
        <v>0</v>
      </c>
      <c r="O23" s="101" t="s">
        <v>217</v>
      </c>
      <c r="P23" s="101"/>
      <c r="Q23" s="102" t="n">
        <v>1</v>
      </c>
      <c r="R23" s="103" t="n">
        <v>0</v>
      </c>
      <c r="S23" s="104" t="n">
        <v>15</v>
      </c>
      <c r="T23" s="101" t="n">
        <v>0</v>
      </c>
      <c r="U23" s="101"/>
      <c r="V23" s="58"/>
      <c r="W23" s="58"/>
      <c r="X23" s="58"/>
      <c r="Y23" s="58"/>
      <c r="Z23" s="45"/>
      <c r="AA23" s="45"/>
      <c r="AB23" s="45"/>
      <c r="AC23" s="58"/>
      <c r="AD23" s="91" t="s">
        <v>218</v>
      </c>
      <c r="AE23" s="62"/>
      <c r="AF23" s="74" t="n">
        <f aca="false">SUM(D5:I5)</f>
        <v>7967</v>
      </c>
      <c r="AG23" s="27"/>
      <c r="AH23" s="27"/>
      <c r="AI23" s="45"/>
      <c r="AJ23" s="45"/>
      <c r="AK23" s="45"/>
      <c r="AL23" s="45"/>
      <c r="AM23" s="45"/>
      <c r="AN23" s="45"/>
    </row>
    <row r="24" customFormat="false" ht="14.4" hidden="false" customHeight="false" outlineLevel="0" collapsed="false">
      <c r="A24" s="1"/>
      <c r="B24" s="1"/>
      <c r="C24" s="72" t="str">
        <f aca="true">IFERROR(INDEX(INDIRECT(D3&amp;"Table"),MATCH(D2,INDIRECT(D3&amp;"Table"&amp;"[Name]"),0),COLUMN(INDIRECT(D3&amp;"Table"&amp;"[Barg2]"))),0)</f>
        <v>N/A</v>
      </c>
      <c r="D24" s="72"/>
      <c r="E24" s="72" t="n">
        <f aca="false">IFERROR(INDEX(Barrage[],MATCH(C24,Barrage[Name],0),COLUMN(Barrage[Total Damage])),0)</f>
        <v>0</v>
      </c>
      <c r="F24" s="72" t="n">
        <f aca="false">IFERROR(INDEX(Barrage[],MATCH(C24,Barrage[Name],0),COLUMN(Barrage[Base Damage])),0)</f>
        <v>0</v>
      </c>
      <c r="G24" s="72" t="n">
        <f aca="false">IFERROR(INDEX(Barrage[],MATCH(C24,Barrage[Name],0),COLUMN(Barrage[Total Rounds])),0)</f>
        <v>0</v>
      </c>
      <c r="H24" s="72" t="n">
        <f aca="false">IFERROR(INDEX(Barrage[],MATCH(C24,Barrage[Name],0),COLUMN(Barrage[Light Armor])),0)</f>
        <v>0</v>
      </c>
      <c r="I24" s="72" t="n">
        <f aca="false">IFERROR(INDEX(Barrage[],MATCH(C24,Barrage[Name],0),COLUMN(Barrage[Medium Armor])),0)</f>
        <v>0</v>
      </c>
      <c r="J24" s="72" t="n">
        <f aca="false">IFERROR(INDEX(Barrage[],MATCH(C24,Barrage[Name],0),COLUMN(Barrage[Heavy Armor])),0)</f>
        <v>0</v>
      </c>
      <c r="K24" s="72" t="n">
        <f aca="false">IFERROR(INDEX(Barrage[],MATCH(C24,Barrage[Name],0),COLUMN(Barrage[Burn %])),0)</f>
        <v>0</v>
      </c>
      <c r="L24" s="72" t="n">
        <f aca="false">IFERROR(INDEX(Barrage[],MATCH(C24,Barrage[Name],0),COLUMN(Barrage[Type2])),0)</f>
        <v>0</v>
      </c>
      <c r="M24" s="72" t="n">
        <f aca="false">IFERROR(INDEX(Barrage[],MATCH(C24,Barrage[Name],0),COLUMN(Barrage[Stat Mod])),0)</f>
        <v>0</v>
      </c>
      <c r="N24" s="90" t="n">
        <f aca="false">IF(O24="Y",IF(L24="FP",$AF$17,$AF$16),IFERROR(INDEX(Barrage[],MATCH(C24,Barrage[Name],0),COLUMN(Barrage[Crit %])),0))</f>
        <v>0</v>
      </c>
      <c r="O24" s="101" t="s">
        <v>217</v>
      </c>
      <c r="P24" s="101"/>
      <c r="Q24" s="102" t="n">
        <v>1</v>
      </c>
      <c r="R24" s="103" t="n">
        <v>1</v>
      </c>
      <c r="S24" s="104" t="n">
        <v>0</v>
      </c>
      <c r="T24" s="101" t="n">
        <v>0</v>
      </c>
      <c r="U24" s="101"/>
      <c r="V24" s="58"/>
      <c r="W24" s="58"/>
      <c r="X24" s="58"/>
      <c r="Y24" s="58"/>
      <c r="Z24" s="45"/>
      <c r="AA24" s="45"/>
      <c r="AB24" s="45"/>
      <c r="AC24" s="58"/>
      <c r="AD24" s="91" t="s">
        <v>219</v>
      </c>
      <c r="AE24" s="62"/>
      <c r="AF24" s="105" t="n">
        <f aca="false">AF23/(AF28*(1-M20))</f>
        <v>79670</v>
      </c>
      <c r="AG24" s="71"/>
      <c r="AH24" s="71"/>
      <c r="AI24" s="45"/>
      <c r="AJ24" s="45"/>
      <c r="AK24" s="45"/>
      <c r="AL24" s="45"/>
      <c r="AM24" s="45"/>
      <c r="AN24" s="45"/>
    </row>
    <row r="25" customFormat="false" ht="14.4" hidden="false" customHeight="false" outlineLevel="0" collapsed="false">
      <c r="A25" s="1"/>
      <c r="B25" s="1"/>
      <c r="C25" s="72" t="str">
        <f aca="true">IFERROR(INDEX(INDIRECT(D3&amp;"Table"),MATCH(D2,INDIRECT(D3&amp;"Table"&amp;"[Name]"),0),COLUMN(INDIRECT(D3&amp;"Table"&amp;"[Barg3]"))),0)</f>
        <v>N/A</v>
      </c>
      <c r="D25" s="72"/>
      <c r="E25" s="72" t="n">
        <f aca="false">IFERROR(INDEX(Barrage[],MATCH(C25,Barrage[Name],0),COLUMN(Barrage[Total Damage])),0)</f>
        <v>0</v>
      </c>
      <c r="F25" s="72" t="n">
        <f aca="false">IFERROR(INDEX(Barrage[],MATCH(C25,Barrage[Name],0),COLUMN(Barrage[Base Damage])),0)</f>
        <v>0</v>
      </c>
      <c r="G25" s="72" t="n">
        <f aca="false">IFERROR(INDEX(Barrage[],MATCH(C25,Barrage[Name],0),COLUMN(Barrage[Total Rounds])),0)</f>
        <v>0</v>
      </c>
      <c r="H25" s="72" t="n">
        <f aca="false">IFERROR(INDEX(Barrage[],MATCH(C25,Barrage[Name],0),COLUMN(Barrage[Light Armor])),0)</f>
        <v>0</v>
      </c>
      <c r="I25" s="72" t="n">
        <f aca="false">IFERROR(INDEX(Barrage[],MATCH(C25,Barrage[Name],0),COLUMN(Barrage[Medium Armor])),0)</f>
        <v>0</v>
      </c>
      <c r="J25" s="72" t="n">
        <f aca="false">IFERROR(INDEX(Barrage[],MATCH(C25,Barrage[Name],0),COLUMN(Barrage[Heavy Armor])),0)</f>
        <v>0</v>
      </c>
      <c r="K25" s="72" t="n">
        <f aca="false">IFERROR(INDEX(Barrage[],MATCH(C25,Barrage[Name],0),COLUMN(Barrage[Burn %])),0)</f>
        <v>0</v>
      </c>
      <c r="L25" s="72" t="n">
        <f aca="false">IFERROR(INDEX(Barrage[],MATCH(C25,Barrage[Name],0),COLUMN(Barrage[Type2])),0)</f>
        <v>0</v>
      </c>
      <c r="M25" s="72" t="n">
        <f aca="false">IFERROR(INDEX(Barrage[],MATCH(C25,Barrage[Name],0),COLUMN(Barrage[Stat Mod])),0)</f>
        <v>0</v>
      </c>
      <c r="N25" s="90" t="n">
        <f aca="false">IF(O25="Y",IF(L25="FP",$AF$17,$AF$16),IFERROR(INDEX(Barrage[],MATCH(C25,Barrage[Name],0),COLUMN(Barrage[Crit %])),0))</f>
        <v>0</v>
      </c>
      <c r="O25" s="101" t="s">
        <v>217</v>
      </c>
      <c r="P25" s="101"/>
      <c r="Q25" s="102" t="n">
        <v>1</v>
      </c>
      <c r="R25" s="103" t="n">
        <v>1</v>
      </c>
      <c r="S25" s="104" t="n">
        <v>0</v>
      </c>
      <c r="T25" s="101" t="n">
        <v>0</v>
      </c>
      <c r="U25" s="101"/>
      <c r="V25" s="58"/>
      <c r="W25" s="58"/>
      <c r="X25" s="58"/>
      <c r="Y25" s="58"/>
      <c r="Z25" s="45"/>
      <c r="AA25" s="45"/>
      <c r="AB25" s="45"/>
      <c r="AC25" s="58"/>
      <c r="AD25" s="91" t="s">
        <v>220</v>
      </c>
      <c r="AE25" s="62"/>
      <c r="AF25" s="77" t="n">
        <f aca="false">0.1+((SUM(D14:I14)*S14)/((SUM(D14:I14)*S14)+2+P17))+((SUM(D13:I13)-P15)/1000)</f>
        <v>0.777807692307692</v>
      </c>
      <c r="AG25" s="44"/>
      <c r="AH25" s="44"/>
      <c r="AI25" s="45"/>
      <c r="AJ25" s="45"/>
      <c r="AK25" s="45"/>
      <c r="AL25" s="45"/>
      <c r="AM25" s="45"/>
      <c r="AN25" s="45"/>
    </row>
    <row r="26" customFormat="false" ht="14.4" hidden="false" customHeight="false" outlineLevel="0" collapsed="false">
      <c r="A26" s="1"/>
      <c r="B26" s="1"/>
      <c r="C26" s="72" t="str">
        <f aca="true">IFERROR(INDEX(INDIRECT(D3&amp;"Table"),MATCH(D2,INDIRECT(D3&amp;"Table"&amp;"[Name]"),0),COLUMN(INDIRECT(D3&amp;"Table"&amp;"[Barg4]"))),0)</f>
        <v>N/A</v>
      </c>
      <c r="D26" s="72"/>
      <c r="E26" s="72" t="n">
        <f aca="false">IFERROR(INDEX(Barrage[],MATCH(C26,Barrage[Name],0),COLUMN(Barrage[Total Damage])),0)</f>
        <v>0</v>
      </c>
      <c r="F26" s="72" t="n">
        <f aca="false">IFERROR(INDEX(Barrage[],MATCH(C26,Barrage[Name],0),COLUMN(Barrage[Base Damage])),0)</f>
        <v>0</v>
      </c>
      <c r="G26" s="72" t="n">
        <f aca="false">IFERROR(INDEX(Barrage[],MATCH(C26,Barrage[Name],0),COLUMN(Barrage[Total Rounds])),0)</f>
        <v>0</v>
      </c>
      <c r="H26" s="72" t="n">
        <f aca="false">IFERROR(INDEX(Barrage[],MATCH(C26,Barrage[Name],0),COLUMN(Barrage[Light Armor])),0)</f>
        <v>0</v>
      </c>
      <c r="I26" s="72" t="n">
        <f aca="false">IFERROR(INDEX(Barrage[],MATCH(C26,Barrage[Name],0),COLUMN(Barrage[Medium Armor])),0)</f>
        <v>0</v>
      </c>
      <c r="J26" s="72" t="n">
        <f aca="false">IFERROR(INDEX(Barrage[],MATCH(C26,Barrage[Name],0),COLUMN(Barrage[Heavy Armor])),0)</f>
        <v>0</v>
      </c>
      <c r="K26" s="72" t="n">
        <f aca="false">IFERROR(INDEX(Barrage[],MATCH(C26,Barrage[Name],0),COLUMN(Barrage[Burn %])),0)</f>
        <v>0</v>
      </c>
      <c r="L26" s="72" t="n">
        <f aca="false">IFERROR(INDEX(Barrage[],MATCH(C26,Barrage[Name],0),COLUMN(Barrage[Type2])),0)</f>
        <v>0</v>
      </c>
      <c r="M26" s="72" t="n">
        <f aca="false">IFERROR(INDEX(Barrage[],MATCH(C26,Barrage[Name],0),COLUMN(Barrage[Stat Mod])),0)</f>
        <v>0</v>
      </c>
      <c r="N26" s="90" t="n">
        <f aca="false">IF(D2="Drake",1+(0.05+0.5+((SUM(D14:I14)*S14)/(SUM(D14:I14)*S14+2000+P17))+((SUM(D13:I13)-P15)/5000))*(M14),IF(O26="Y",IF(L26="FP",$AF$17,$AF$16),IFERROR(INDEX(Barrage[],MATCH(C26,Barrage[Name],0),COLUMN(Barrage[Crit %])),0)))</f>
        <v>0</v>
      </c>
      <c r="O26" s="101" t="s">
        <v>217</v>
      </c>
      <c r="P26" s="101"/>
      <c r="Q26" s="102" t="n">
        <v>1</v>
      </c>
      <c r="R26" s="103" t="n">
        <v>1</v>
      </c>
      <c r="S26" s="104" t="n">
        <v>0</v>
      </c>
      <c r="T26" s="101" t="n">
        <v>0</v>
      </c>
      <c r="U26" s="101"/>
      <c r="V26" s="58"/>
      <c r="W26" s="58"/>
      <c r="X26" s="58"/>
      <c r="Y26" s="58"/>
      <c r="Z26" s="45"/>
      <c r="AA26" s="45"/>
      <c r="AB26" s="45"/>
      <c r="AC26" s="58"/>
      <c r="AD26" s="91" t="s">
        <v>221</v>
      </c>
      <c r="AE26" s="62"/>
      <c r="AF26" s="77" t="n">
        <f aca="false">IF(AF25&lt;=0.1, 0.1, IF(AF25&gt;=1, 1, AF25))</f>
        <v>0.777807692307692</v>
      </c>
      <c r="AG26" s="44"/>
      <c r="AH26" s="44"/>
      <c r="AI26" s="45"/>
      <c r="AJ26" s="45"/>
      <c r="AK26" s="45"/>
      <c r="AL26" s="45"/>
      <c r="AM26" s="45"/>
      <c r="AN26" s="45"/>
    </row>
    <row r="27" customFormat="false" ht="14.4" hidden="false" customHeight="false" outlineLevel="0" collapsed="false">
      <c r="A27" s="1"/>
      <c r="B27" s="1"/>
      <c r="C27" s="72" t="str">
        <f aca="true">IFERROR(INDEX(INDIRECT(D3&amp;"Table"),MATCH(D2,INDIRECT(D3&amp;"Table"&amp;"[Name]"),0),COLUMN(INDIRECT(D3&amp;"Table"&amp;"[Barg5]"))),"N/A")</f>
        <v>N/A</v>
      </c>
      <c r="D27" s="72"/>
      <c r="E27" s="72" t="n">
        <f aca="false">IFERROR(INDEX(Barrage[],MATCH(C27,Barrage[Name],0),COLUMN(Barrage[Total Damage])),0)</f>
        <v>0</v>
      </c>
      <c r="F27" s="72" t="n">
        <f aca="false">IFERROR(INDEX(Barrage[],MATCH(C27,Barrage[Name],0),COLUMN(Barrage[Base Damage])),0)</f>
        <v>0</v>
      </c>
      <c r="G27" s="72" t="n">
        <f aca="false">IFERROR(INDEX(Barrage[],MATCH(C27,Barrage[Name],0),COLUMN(Barrage[Total Rounds])),0)</f>
        <v>0</v>
      </c>
      <c r="H27" s="72" t="n">
        <f aca="false">IFERROR(INDEX(Barrage[],MATCH(C27,Barrage[Name],0),COLUMN(Barrage[Light Armor])),0)</f>
        <v>0</v>
      </c>
      <c r="I27" s="72" t="n">
        <f aca="false">IFERROR(INDEX(Barrage[],MATCH(C27,Barrage[Name],0),COLUMN(Barrage[Medium Armor])),0)</f>
        <v>0</v>
      </c>
      <c r="J27" s="72" t="n">
        <f aca="false">IFERROR(INDEX(Barrage[],MATCH(C27,Barrage[Name],0),COLUMN(Barrage[Heavy Armor])),0)</f>
        <v>0</v>
      </c>
      <c r="K27" s="72" t="n">
        <f aca="false">IFERROR(INDEX(Barrage[],MATCH(C27,Barrage[Name],0),COLUMN(Barrage[Burn %])),0)</f>
        <v>0</v>
      </c>
      <c r="L27" s="72" t="n">
        <f aca="false">IFERROR(INDEX(Barrage[],MATCH(C27,Barrage[Name],0),COLUMN(Barrage[Type2])),0)</f>
        <v>0</v>
      </c>
      <c r="M27" s="72" t="n">
        <f aca="false">IFERROR(INDEX(Barrage[],MATCH(C27,Barrage[Name],0),COLUMN(Barrage[Stat Mod])),0)</f>
        <v>0</v>
      </c>
      <c r="N27" s="90" t="n">
        <f aca="false">IF(O27="Y",IF(L27="FP",$AF$17,$AF$16),IFERROR(INDEX(Barrage[],MATCH(C27,Barrage[Name],0),COLUMN(Barrage[Crit %])),0))</f>
        <v>0</v>
      </c>
      <c r="O27" s="101" t="s">
        <v>217</v>
      </c>
      <c r="P27" s="101"/>
      <c r="Q27" s="102" t="n">
        <v>1</v>
      </c>
      <c r="R27" s="103" t="n">
        <v>1</v>
      </c>
      <c r="S27" s="104" t="n">
        <v>0</v>
      </c>
      <c r="T27" s="101" t="n">
        <v>0</v>
      </c>
      <c r="U27" s="101"/>
      <c r="V27" s="58"/>
      <c r="W27" s="58"/>
      <c r="X27" s="58"/>
      <c r="Y27" s="58"/>
      <c r="Z27" s="45"/>
      <c r="AA27" s="45"/>
      <c r="AB27" s="45"/>
      <c r="AC27" s="58"/>
      <c r="AD27" s="91" t="s">
        <v>222</v>
      </c>
      <c r="AE27" s="62"/>
      <c r="AF27" s="106" t="n">
        <f aca="false">0.1+(P16/(P16+2+M19*SUM(D12:I12)))+((P15-SUM(D13:I13))/1000)-M18</f>
        <v>0.052</v>
      </c>
      <c r="AG27" s="107"/>
      <c r="AH27" s="107"/>
      <c r="AI27" s="45"/>
      <c r="AJ27" s="45"/>
      <c r="AK27" s="45"/>
      <c r="AL27" s="45"/>
      <c r="AM27" s="45"/>
      <c r="AN27" s="45"/>
    </row>
    <row r="28" customFormat="false" ht="14.4" hidden="false" customHeight="false" outlineLevel="0" collapsed="false">
      <c r="A28" s="1"/>
      <c r="B28" s="1"/>
      <c r="C28" s="72" t="str">
        <f aca="true">IFERROR(INDEX(INDIRECT(D3&amp;"Table"),MATCH(D2,INDIRECT(D3&amp;"Table"&amp;"[Name]"),0),COLUMN(INDIRECT(D3&amp;"Table"&amp;"[Barg6]"))),"N/A")</f>
        <v>N/A</v>
      </c>
      <c r="D28" s="72"/>
      <c r="E28" s="72" t="n">
        <f aca="false">IFERROR(INDEX(Barrage[],MATCH(C28,Barrage[Name],0),COLUMN(Barrage[Total Damage])),0)</f>
        <v>0</v>
      </c>
      <c r="F28" s="72" t="n">
        <f aca="false">IFERROR(INDEX(Barrage[],MATCH(C28,Barrage[Name],0),COLUMN(Barrage[Base Damage])),0)</f>
        <v>0</v>
      </c>
      <c r="G28" s="72" t="n">
        <f aca="false">IFERROR(INDEX(Barrage[],MATCH(C28,Barrage[Name],0),COLUMN(Barrage[Total Rounds])),0)</f>
        <v>0</v>
      </c>
      <c r="H28" s="72" t="n">
        <f aca="false">IFERROR(INDEX(Barrage[],MATCH(C28,Barrage[Name],0),COLUMN(Barrage[Light Armor])),0)</f>
        <v>0</v>
      </c>
      <c r="I28" s="72" t="n">
        <f aca="false">IFERROR(INDEX(Barrage[],MATCH(C28,Barrage[Name],0),COLUMN(Barrage[Medium Armor])),0)</f>
        <v>0</v>
      </c>
      <c r="J28" s="72" t="n">
        <f aca="false">IFERROR(INDEX(Barrage[],MATCH(C28,Barrage[Name],0),COLUMN(Barrage[Heavy Armor])),0)</f>
        <v>0</v>
      </c>
      <c r="K28" s="72" t="n">
        <f aca="false">IFERROR(INDEX(Barrage[],MATCH(C28,Barrage[Name],0),COLUMN(Barrage[Burn %])),0)</f>
        <v>0</v>
      </c>
      <c r="L28" s="72" t="n">
        <f aca="false">IFERROR(INDEX(Barrage[],MATCH(C28,Barrage[Name],0),COLUMN(Barrage[Type2])),0)</f>
        <v>0</v>
      </c>
      <c r="M28" s="72" t="n">
        <f aca="false">IFERROR(INDEX(Barrage[],MATCH(C28,Barrage[Name],0),COLUMN(Barrage[Stat Mod])),0)</f>
        <v>0</v>
      </c>
      <c r="N28" s="90" t="n">
        <f aca="false">IF(O28="Y",IF(L28="FP",$AF$17,$AF$16),IFERROR(INDEX(Barrage[],MATCH(C28,Barrage[Name],0),COLUMN(Barrage[Crit %])),0))</f>
        <v>0</v>
      </c>
      <c r="O28" s="101" t="s">
        <v>217</v>
      </c>
      <c r="P28" s="101"/>
      <c r="Q28" s="102" t="n">
        <v>1</v>
      </c>
      <c r="R28" s="103" t="n">
        <v>1</v>
      </c>
      <c r="S28" s="104" t="n">
        <v>0</v>
      </c>
      <c r="T28" s="101" t="n">
        <v>0</v>
      </c>
      <c r="U28" s="101"/>
      <c r="V28" s="108"/>
      <c r="W28" s="58"/>
      <c r="X28" s="58"/>
      <c r="Y28" s="58"/>
      <c r="Z28" s="45"/>
      <c r="AA28" s="45"/>
      <c r="AB28" s="45"/>
      <c r="AC28" s="58"/>
      <c r="AD28" s="91" t="s">
        <v>223</v>
      </c>
      <c r="AE28" s="62"/>
      <c r="AF28" s="77" t="n">
        <f aca="false">IF(AF27&lt;=0.1, 0.1, IF(AF27&gt;=0.9, 0.9, AF27))</f>
        <v>0.1</v>
      </c>
      <c r="AG28" s="44"/>
      <c r="AH28" s="44"/>
      <c r="AI28" s="45"/>
      <c r="AJ28" s="45"/>
      <c r="AK28" s="45"/>
      <c r="AL28" s="45"/>
      <c r="AM28" s="45"/>
      <c r="AN28" s="45"/>
    </row>
    <row r="29" customFormat="false" ht="14.4" hidden="false" customHeight="false" outlineLevel="0" collapsed="false">
      <c r="A29" s="1"/>
      <c r="B29" s="1"/>
      <c r="C29" s="72" t="str">
        <f aca="true">IFERROR(INDEX(INDIRECT(D3&amp;"Table"),MATCH(D2,INDIRECT(D3&amp;"Table"&amp;"[Name]"),0),COLUMN(INDIRECT(D3&amp;"Table"&amp;"[Barg7]"))),"N/A")</f>
        <v>N/A</v>
      </c>
      <c r="D29" s="72"/>
      <c r="E29" s="72" t="n">
        <f aca="false">IFERROR(INDEX(Barrage[],MATCH(C29,Barrage[Name],0),COLUMN(Barrage[Total Damage])),0)</f>
        <v>0</v>
      </c>
      <c r="F29" s="72" t="n">
        <f aca="false">IFERROR(INDEX(Barrage[],MATCH(C29,Barrage[Name],0),COLUMN(Barrage[Base Damage])),0)</f>
        <v>0</v>
      </c>
      <c r="G29" s="72" t="n">
        <f aca="false">IFERROR(INDEX(Barrage[],MATCH(C29,Barrage[Name],0),COLUMN(Barrage[Total Rounds])),0)</f>
        <v>0</v>
      </c>
      <c r="H29" s="72" t="n">
        <f aca="false">IFERROR(INDEX(Barrage[],MATCH(C29,Barrage[Name],0),COLUMN(Barrage[Light Armor])),0)</f>
        <v>0</v>
      </c>
      <c r="I29" s="72" t="n">
        <f aca="false">IFERROR(INDEX(Barrage[],MATCH(C29,Barrage[Name],0),COLUMN(Barrage[Medium Armor])),0)</f>
        <v>0</v>
      </c>
      <c r="J29" s="72" t="n">
        <f aca="false">IFERROR(INDEX(Barrage[],MATCH(C29,Barrage[Name],0),COLUMN(Barrage[Heavy Armor])),0)</f>
        <v>0</v>
      </c>
      <c r="K29" s="72" t="n">
        <f aca="false">IFERROR(INDEX(Barrage[],MATCH(C29,Barrage[Name],0),COLUMN(Barrage[Burn %])),0)</f>
        <v>0</v>
      </c>
      <c r="L29" s="72" t="n">
        <f aca="false">IFERROR(INDEX(Barrage[],MATCH(C29,Barrage[Name],0),COLUMN(Barrage[Type2])),0)</f>
        <v>0</v>
      </c>
      <c r="M29" s="72" t="n">
        <f aca="false">IFERROR(INDEX(Barrage[],MATCH(C29,Barrage[Name],0),COLUMN(Barrage[Stat Mod])),0)</f>
        <v>0</v>
      </c>
      <c r="N29" s="90" t="n">
        <f aca="false">IF(O29="Y",IF(L29="FP",$AF$17,$AF$16),IFERROR(INDEX(Barrage[],MATCH(C29,Barrage[Name],0),COLUMN(Barrage[Crit %])),0))</f>
        <v>0</v>
      </c>
      <c r="O29" s="101" t="s">
        <v>217</v>
      </c>
      <c r="P29" s="101"/>
      <c r="Q29" s="102" t="n">
        <v>1</v>
      </c>
      <c r="R29" s="103" t="n">
        <v>1</v>
      </c>
      <c r="S29" s="104" t="n">
        <v>0</v>
      </c>
      <c r="T29" s="101" t="n">
        <v>0</v>
      </c>
      <c r="U29" s="101"/>
      <c r="V29" s="108"/>
      <c r="W29" s="58"/>
      <c r="X29" s="58"/>
      <c r="Y29" s="58"/>
      <c r="Z29" s="45"/>
      <c r="AA29" s="45"/>
      <c r="AB29" s="45"/>
      <c r="AC29" s="58"/>
      <c r="AD29" s="72"/>
      <c r="AE29" s="72"/>
      <c r="AF29" s="97"/>
      <c r="AG29" s="72"/>
      <c r="AH29" s="72"/>
      <c r="AI29" s="45"/>
      <c r="AJ29" s="45"/>
      <c r="AK29" s="45"/>
      <c r="AL29" s="45"/>
      <c r="AM29" s="45"/>
      <c r="AN29" s="45"/>
    </row>
    <row r="30" customFormat="false" ht="14.4" hidden="false" customHeight="false" outlineLevel="0" collapsed="false">
      <c r="A30" s="1"/>
      <c r="B30" s="1"/>
      <c r="C30" s="11"/>
      <c r="D30" s="11"/>
      <c r="E30" s="11"/>
      <c r="F30" s="11"/>
      <c r="G30" s="11"/>
      <c r="H30" s="11"/>
      <c r="I30" s="11"/>
      <c r="J30" s="11"/>
      <c r="K30" s="11"/>
      <c r="L30" s="11"/>
      <c r="M30" s="11"/>
      <c r="N30" s="11"/>
      <c r="O30" s="11"/>
      <c r="P30" s="63"/>
      <c r="Q30" s="11"/>
      <c r="R30" s="63"/>
      <c r="S30" s="11"/>
      <c r="T30" s="63"/>
      <c r="U30" s="63"/>
      <c r="V30" s="108"/>
      <c r="W30" s="58"/>
      <c r="X30" s="58"/>
      <c r="Y30" s="58"/>
      <c r="Z30" s="45"/>
      <c r="AA30" s="45"/>
      <c r="AB30" s="45"/>
      <c r="AC30" s="58"/>
      <c r="AD30" s="91" t="s">
        <v>152</v>
      </c>
      <c r="AE30" s="62"/>
      <c r="AF30" s="109" t="n">
        <f aca="false">(P20*H17+H18+H19+IF(AND(P12=2,NOT(C2="BB")),IF(NOT(H19=0),H19-0.1,0),0))*P13</f>
        <v>21.3563849437496</v>
      </c>
      <c r="AG30" s="70"/>
      <c r="AH30" s="70"/>
      <c r="AI30" s="45"/>
      <c r="AJ30" s="45"/>
      <c r="AK30" s="45"/>
      <c r="AL30" s="45"/>
      <c r="AM30" s="45"/>
      <c r="AN30" s="45"/>
    </row>
    <row r="31" customFormat="false" ht="14.4" hidden="false" customHeight="false" outlineLevel="0" collapsed="false">
      <c r="A31" s="1"/>
      <c r="B31" s="1"/>
      <c r="C31" s="63" t="s">
        <v>224</v>
      </c>
      <c r="D31" s="63"/>
      <c r="E31" s="11"/>
      <c r="F31" s="63" t="s">
        <v>225</v>
      </c>
      <c r="G31" s="11"/>
      <c r="H31" s="110" t="s">
        <v>226</v>
      </c>
      <c r="I31" s="11"/>
      <c r="J31" s="11"/>
      <c r="K31" s="110" t="s">
        <v>227</v>
      </c>
      <c r="L31" s="11"/>
      <c r="M31" s="63" t="s">
        <v>228</v>
      </c>
      <c r="N31" s="63" t="s">
        <v>229</v>
      </c>
      <c r="O31" s="11"/>
      <c r="P31" s="63" t="s">
        <v>230</v>
      </c>
      <c r="Q31" s="11"/>
      <c r="R31" s="63" t="s">
        <v>231</v>
      </c>
      <c r="S31" s="11"/>
      <c r="T31" s="63" t="s">
        <v>232</v>
      </c>
      <c r="U31" s="63"/>
      <c r="V31" s="63" t="s">
        <v>233</v>
      </c>
      <c r="W31" s="11"/>
      <c r="X31" s="63" t="s">
        <v>234</v>
      </c>
      <c r="Y31" s="11"/>
      <c r="Z31" s="63" t="s">
        <v>235</v>
      </c>
      <c r="AA31" s="45"/>
      <c r="AB31" s="45"/>
      <c r="AC31" s="58"/>
      <c r="AD31" s="91" t="s">
        <v>236</v>
      </c>
      <c r="AE31" s="62"/>
      <c r="AF31" s="109" t="n">
        <f aca="false">(P20*H17+H18+H19+IF(AND(P12=2,NOT(C2="BB")),IF(NOT(H19=0),H19-0.1,0),0))</f>
        <v>21.3563849437496</v>
      </c>
      <c r="AG31" s="70"/>
      <c r="AH31" s="70"/>
      <c r="AI31" s="45"/>
      <c r="AJ31" s="45"/>
      <c r="AK31" s="45"/>
      <c r="AL31" s="45"/>
      <c r="AM31" s="45"/>
      <c r="AN31" s="45"/>
    </row>
    <row r="32" customFormat="false" ht="14.4" hidden="false" customHeight="false" outlineLevel="0" collapsed="false">
      <c r="A32" s="1"/>
      <c r="B32" s="1"/>
      <c r="C32" s="63" t="s">
        <v>138</v>
      </c>
      <c r="D32" s="70" t="n">
        <f aca="false">((100+S20+D18*S12)/100)*(D10+Y13)*H10*H15*H16*AE5*(AF17)*P12*S15*S17*V12*Y12*Y14</f>
        <v>6079.27917245549</v>
      </c>
      <c r="E32" s="111"/>
      <c r="F32" s="70" t="n">
        <f aca="false">((100+IF(I3="TORP",0,S20)+IF(I3="TORP",D19*S13,D18*S12))/100)*(D11+Y18)*I10*I15*I16*AF5*IF(I3="TORP",AF16*S16,AF17*S15)*IF(D4="BB",0,1)*S17*Y17*V12*Y19</f>
        <v>0</v>
      </c>
      <c r="G32" s="111"/>
      <c r="H32" s="70" t="n">
        <f aca="false">D32*AF26</f>
        <v>4728.51010402182</v>
      </c>
      <c r="I32" s="111"/>
      <c r="J32" s="11"/>
      <c r="K32" s="70" t="n">
        <f aca="false">F32*AF26</f>
        <v>0</v>
      </c>
      <c r="L32" s="11"/>
      <c r="M32" s="63" t="s">
        <v>138</v>
      </c>
      <c r="N32" s="70" t="n">
        <f aca="false">IFERROR((E23*H23*((100+IF(L23="FP",S20,0)+IF(L23="FP",D18*S12,D19*S13)*M23)/100))*IF(N23=0,AF18,N23),0)*Q23*R23*S17*V12</f>
        <v>0</v>
      </c>
      <c r="O32" s="11"/>
      <c r="P32" s="70" t="n">
        <f aca="false">IFERROR((E24*H24*((100+IF(L24="FP",D18*S12,D19*S13)*M24)/100))*IF(N24=0,AF18,N24)*R24,0)*Q24*S17*V12</f>
        <v>0</v>
      </c>
      <c r="Q32" s="11"/>
      <c r="R32" s="70" t="n">
        <f aca="false">IFERROR((E25*H25*((100+IF(L25="FP",S20,0)+IF(L25="FP",D18*S12,D19*S13)*M25)/100))*IF(N25=0,AF18,N25),0)*Q25*R25*S17*V12</f>
        <v>0</v>
      </c>
      <c r="S32" s="11"/>
      <c r="T32" s="70" t="n">
        <f aca="false">IFERROR((E26*H26*((100+IF(L26="FP",D18*S12,D19*S13)*M26))/100)*IF(N26=0,AF18,N26),0)*Q26*R26*S17*V12</f>
        <v>0</v>
      </c>
      <c r="U32" s="70"/>
      <c r="V32" s="70" t="n">
        <f aca="false">IFERROR((E27*H27*((100+IF(L27="FP",D18*S12,D19*S13)*M27))/100)*IF(N27=0,AF18,N27),0)*Q27*R27*S17*V12</f>
        <v>0</v>
      </c>
      <c r="W32" s="11"/>
      <c r="X32" s="70" t="n">
        <f aca="false">IFERROR((E28*H28*((100+IF(L28="FP",D18*S12,D19*S13)*M28))/100)*IF(N28=0,AF18,N28),0)*Q28*R28*S17*V12</f>
        <v>0</v>
      </c>
      <c r="Y32" s="11"/>
      <c r="Z32" s="70" t="n">
        <f aca="false">IFERROR((E29*H29*((100+IF(L29="FP",D18*S12,D19*S13)*M29))/100)*IF(N29=0,AF18,N29),0)*Q29*R29*S17*V12</f>
        <v>0</v>
      </c>
      <c r="AA32" s="45"/>
      <c r="AB32" s="45"/>
      <c r="AC32" s="58"/>
      <c r="AD32" s="91" t="s">
        <v>237</v>
      </c>
      <c r="AE32" s="62"/>
      <c r="AF32" s="109" t="n">
        <f aca="false">MAX(0,H19-0.1+MAX(0,(1.2-(P20*H17+H18+H19)))-(MAX((12-(H18+0.1)*30)/30,0)))</f>
        <v>0</v>
      </c>
      <c r="AG32" s="70"/>
      <c r="AH32" s="70"/>
      <c r="AI32" s="45"/>
      <c r="AJ32" s="45"/>
      <c r="AK32" s="45"/>
      <c r="AL32" s="45"/>
      <c r="AM32" s="45"/>
      <c r="AN32" s="45"/>
    </row>
    <row r="33" customFormat="false" ht="14.4" hidden="false" customHeight="false" outlineLevel="0" collapsed="false">
      <c r="A33" s="1"/>
      <c r="B33" s="1"/>
      <c r="C33" s="63" t="s">
        <v>140</v>
      </c>
      <c r="D33" s="70" t="n">
        <f aca="false">((100+S20+D18*S12)/100)*(D10+Y13)*H10*H15*H16*AE6*(AF17)*P12*S15*S17*V12*Y12*Y14</f>
        <v>21277.4771035942</v>
      </c>
      <c r="E33" s="111"/>
      <c r="F33" s="70" t="n">
        <f aca="false">((100+IF(I3="TORP",0,S20)+IF(I3="TORP",D19*S13,D18*S12))/100)*(D11+Y18)*I10*I15*I16*AF6*IF(I3="TORP",AF16*S16,AF17*S15)*IF(D4="BB",0,1)*S17*Y17*V12*Y19</f>
        <v>0</v>
      </c>
      <c r="G33" s="111"/>
      <c r="H33" s="70" t="n">
        <f aca="false">D33*AF26</f>
        <v>16549.7853640764</v>
      </c>
      <c r="I33" s="111"/>
      <c r="J33" s="11"/>
      <c r="K33" s="70" t="n">
        <f aca="false">F33*AF26</f>
        <v>0</v>
      </c>
      <c r="L33" s="11"/>
      <c r="M33" s="63" t="s">
        <v>140</v>
      </c>
      <c r="N33" s="70" t="n">
        <f aca="false">IFERROR((E23*I23*((100+IF(L23="FP",S20,0)+IF(L23="FP",D18*S12,D19*S13)*M23)/100))*IF(N23=0,AF18,N23),0)*Q23*R23*S17*V12</f>
        <v>0</v>
      </c>
      <c r="O33" s="11"/>
      <c r="P33" s="70" t="n">
        <f aca="false">IFERROR((E24*I24*((100+IF(L24="FP",D18*S12,D19*S13)*M24)/100))*IF(N24=0,AF18,N24)*R24,0)*Q24*S17*V12</f>
        <v>0</v>
      </c>
      <c r="Q33" s="11"/>
      <c r="R33" s="70" t="n">
        <f aca="false">IFERROR((E25*I25*((100+IF(L25="FP",S20,0)+IF(L25="FP",D18*S12,D19*S13)*M25)/100))*IF(N25=0,AF18,N25),0)*Q25*R25*S17*V12</f>
        <v>0</v>
      </c>
      <c r="S33" s="11"/>
      <c r="T33" s="70" t="n">
        <f aca="false">IFERROR((E26*I26*((100+IF(L26="FP",D18*S12,D19*S13)*M26))/100)*IF(N26=0,AF18,N26),0)*Q26*R26*S17*V12</f>
        <v>0</v>
      </c>
      <c r="U33" s="70"/>
      <c r="V33" s="70" t="n">
        <f aca="false">IFERROR((E27*I27*((100+IF(L27="FP",D18*S12,D19*S13)*M27))/100)*IF(N27=0,AF18,N27),0)*Q27*R27*S17*V12</f>
        <v>0</v>
      </c>
      <c r="W33" s="11"/>
      <c r="X33" s="70" t="n">
        <f aca="false">IFERROR((E28*I28*((100+IF(L28="FP",D18*S12,D19*S13)*M28))/100)*IF(N28=0,AF18,N28),0)*Q28*R28*S17*V12</f>
        <v>0</v>
      </c>
      <c r="Y33" s="11"/>
      <c r="Z33" s="70" t="n">
        <f aca="false">IFERROR((E29*I29*((100+IF(L29="FP",D18*S12,D19*S13)*M29))/100)*IF(N29=0,AF18,N29),0)*Q29*R29*S17*V12</f>
        <v>0</v>
      </c>
      <c r="AA33" s="45"/>
      <c r="AB33" s="45"/>
      <c r="AC33" s="58"/>
      <c r="AD33" s="45"/>
      <c r="AE33" s="58"/>
      <c r="AF33" s="55"/>
      <c r="AG33" s="45"/>
      <c r="AH33" s="45"/>
      <c r="AI33" s="45"/>
      <c r="AJ33" s="45"/>
      <c r="AK33" s="45"/>
      <c r="AL33" s="45"/>
      <c r="AM33" s="45"/>
      <c r="AN33" s="45"/>
    </row>
    <row r="34" customFormat="false" ht="14.4" hidden="false" customHeight="false" outlineLevel="0" collapsed="false">
      <c r="A34" s="1"/>
      <c r="B34" s="1"/>
      <c r="C34" s="63" t="s">
        <v>142</v>
      </c>
      <c r="D34" s="70" t="n">
        <f aca="false">((100+S20+D18*S12)/100)*(D10+Y13)*H10*H15*H16*AE7*(AF17)*P12*S15*AF11*S17*V12*Y12*Y14</f>
        <v>18237.8375173665</v>
      </c>
      <c r="E34" s="111"/>
      <c r="F34" s="70" t="n">
        <f aca="false">((100+IF(I3="TORP",0,S20)+IF(I3="TORP",D19*S13,D18*S12))/100)*(D11+Y18)*I10*I15*I16*AF7*IF(I3="TORP",AF16*S16,AF17*S15)*IF(D4="BB",0,1)*S17*Y17*V12*Y19</f>
        <v>0</v>
      </c>
      <c r="G34" s="111"/>
      <c r="H34" s="70" t="n">
        <f aca="false">D34*AF26</f>
        <v>14185.5303120655</v>
      </c>
      <c r="I34" s="111"/>
      <c r="J34" s="11"/>
      <c r="K34" s="70" t="n">
        <f aca="false">F34*AF26</f>
        <v>0</v>
      </c>
      <c r="L34" s="11"/>
      <c r="M34" s="63" t="s">
        <v>142</v>
      </c>
      <c r="N34" s="70" t="n">
        <f aca="false">IFERROR((E23*J23*((100+IF(L23="FP",S20,0)+IF(L23="FP",D18*S12,D19*S13)*M23)/100))*IF(N23=0,AF18,N23),0)*Q23*R23*S17*V12</f>
        <v>0</v>
      </c>
      <c r="O34" s="11"/>
      <c r="P34" s="70" t="n">
        <f aca="false">IFERROR((E24*J24*((100+IF(L24="FP",D18*S12,D19*S13)*M24)/100))*IF(N24=0,AF18,N24)*R24,0)*Q24*S17*V12</f>
        <v>0</v>
      </c>
      <c r="Q34" s="11"/>
      <c r="R34" s="70" t="n">
        <f aca="false">IFERROR((E25*J25*((100+IF(L25="FP",S20,0)+IF(L25="FP",D18*S12,D19*S13)*M25)/100))*IF(N25=0,AF18,N25),0)*Q25*R25*S17*V12</f>
        <v>0</v>
      </c>
      <c r="S34" s="11"/>
      <c r="T34" s="70" t="n">
        <f aca="false">IFERROR((E26*J26*((100+IF(L26="FP",D18*S12,D19*S13)*M26))/100)*IF(N26=0,AF18,N26),0)*Q26*R26*S17*V12</f>
        <v>0</v>
      </c>
      <c r="U34" s="70"/>
      <c r="V34" s="70" t="n">
        <f aca="false">IFERROR((E27*J27*((100+IF(L27="FP",D18*S12,D19*S13)*M27))/100)*IF(N27=0,AF18,N27),0)*Q27*R27*S17*V12</f>
        <v>0</v>
      </c>
      <c r="W34" s="11"/>
      <c r="X34" s="70" t="n">
        <f aca="false">IFERROR((E28*J28*((100+IF(L28="FP",D18*S12,D19*S13)*M28))/100)*IF(N28=0,AF18,N28),0)*Q28*R28*S17*V12</f>
        <v>0</v>
      </c>
      <c r="Y34" s="11"/>
      <c r="Z34" s="70" t="n">
        <f aca="false">IFERROR((E29*J29*((100+IF(L29="FP",D18*S12,D19*S13)*M29))/100)*IF(N29=0,AF18,N29),0)*Q29*R29*S17*V12</f>
        <v>0</v>
      </c>
      <c r="AA34" s="45"/>
      <c r="AB34" s="45"/>
      <c r="AC34" s="58"/>
      <c r="AD34" s="45"/>
      <c r="AE34" s="58"/>
      <c r="AF34" s="55"/>
      <c r="AG34" s="45"/>
      <c r="AH34" s="45"/>
      <c r="AI34" s="45"/>
      <c r="AJ34" s="45"/>
      <c r="AK34" s="45"/>
      <c r="AL34" s="45"/>
      <c r="AM34" s="45"/>
      <c r="AN34" s="45"/>
    </row>
    <row r="35" customFormat="false" ht="14.4" hidden="false" customHeight="false" outlineLevel="0" collapsed="false">
      <c r="A35" s="1"/>
      <c r="B35" s="1"/>
      <c r="C35" s="63" t="s">
        <v>238</v>
      </c>
      <c r="D35" s="70" t="n">
        <f aca="false">(((100+S20+D18*S12)/100)*H10*H15*AF8*(D10+Y13)+5)*5*(1-(1-AF9)^(H16*P12))*IF(OR(D2="Baltimore",D2="Massachusetts",D2="Zara"),0,1)</f>
        <v>0</v>
      </c>
      <c r="E35" s="111"/>
      <c r="F35" s="70" t="s">
        <v>58</v>
      </c>
      <c r="G35" s="111"/>
      <c r="H35" s="111"/>
      <c r="I35" s="111"/>
      <c r="J35" s="11"/>
      <c r="K35" s="11"/>
      <c r="L35" s="11"/>
      <c r="M35" s="11"/>
      <c r="N35" s="11"/>
      <c r="O35" s="11"/>
      <c r="P35" s="11"/>
      <c r="Q35" s="11"/>
      <c r="R35" s="11"/>
      <c r="S35" s="11"/>
      <c r="T35" s="11"/>
      <c r="U35" s="11"/>
      <c r="V35" s="11"/>
      <c r="W35" s="108"/>
      <c r="X35" s="108"/>
      <c r="Y35" s="108"/>
      <c r="Z35" s="45"/>
      <c r="AA35" s="45"/>
      <c r="AB35" s="45"/>
      <c r="AC35" s="58"/>
      <c r="AD35" s="45"/>
      <c r="AE35" s="58"/>
      <c r="AF35" s="55"/>
      <c r="AG35" s="45"/>
      <c r="AH35" s="45"/>
      <c r="AI35" s="45"/>
      <c r="AJ35" s="45"/>
      <c r="AK35" s="45"/>
      <c r="AL35" s="45"/>
      <c r="AM35" s="45"/>
      <c r="AN35" s="45"/>
    </row>
    <row r="36" customFormat="false" ht="14.4" hidden="false" customHeight="false" outlineLevel="0" collapsed="false">
      <c r="A36" s="1"/>
      <c r="B36" s="1"/>
      <c r="C36" s="11"/>
      <c r="D36" s="111"/>
      <c r="E36" s="111"/>
      <c r="F36" s="111"/>
      <c r="G36" s="111"/>
      <c r="H36" s="111"/>
      <c r="I36" s="112" t="s">
        <v>239</v>
      </c>
      <c r="J36" s="11"/>
      <c r="K36" s="63" t="s">
        <v>239</v>
      </c>
      <c r="L36" s="63"/>
      <c r="M36" s="63" t="s">
        <v>239</v>
      </c>
      <c r="N36" s="110"/>
      <c r="O36" s="63" t="s">
        <v>239</v>
      </c>
      <c r="P36" s="11"/>
      <c r="Q36" s="63" t="s">
        <v>239</v>
      </c>
      <c r="R36" s="11"/>
      <c r="S36" s="63" t="s">
        <v>239</v>
      </c>
      <c r="T36" s="11"/>
      <c r="U36" s="63" t="s">
        <v>239</v>
      </c>
      <c r="V36" s="63"/>
      <c r="W36" s="108"/>
      <c r="X36" s="108"/>
      <c r="Y36" s="108"/>
      <c r="Z36" s="45"/>
      <c r="AA36" s="45"/>
      <c r="AB36" s="45"/>
      <c r="AC36" s="58"/>
      <c r="AD36" s="45"/>
      <c r="AE36" s="58"/>
      <c r="AF36" s="55"/>
      <c r="AG36" s="45"/>
      <c r="AH36" s="45"/>
      <c r="AI36" s="45"/>
      <c r="AJ36" s="45"/>
      <c r="AK36" s="45"/>
      <c r="AL36" s="45"/>
      <c r="AM36" s="45"/>
      <c r="AN36" s="45"/>
    </row>
    <row r="37" customFormat="false" ht="14.4" hidden="false" customHeight="false" outlineLevel="0" collapsed="false">
      <c r="A37" s="1"/>
      <c r="B37" s="1"/>
      <c r="C37" s="63"/>
      <c r="D37" s="112" t="s">
        <v>124</v>
      </c>
      <c r="E37" s="111"/>
      <c r="F37" s="112" t="s">
        <v>240</v>
      </c>
      <c r="G37" s="111"/>
      <c r="H37" s="112" t="s">
        <v>138</v>
      </c>
      <c r="I37" s="70" t="n">
        <f aca="false">IFERROR((E23*H23*((100+IF(L23="FP",S20,0)+IF(L23="FP",D18*S12,D19*S13)*M23)/100))/(IF(S23=0,AF30,S23))*IF(N23=0,AF18,N23),0)*Q23*R23*S17</f>
        <v>0</v>
      </c>
      <c r="J37" s="27"/>
      <c r="K37" s="27" t="n">
        <f aca="false">IFERROR((E24*H24*((100+IF(L24="FP",D18*S12,D19*S13)*M24)/100))/(IF(S24=0,AF30,S24))*IF(N24=0,AF18,N24)*R24,0)*Q24*S17</f>
        <v>0</v>
      </c>
      <c r="L37" s="27"/>
      <c r="M37" s="27" t="n">
        <f aca="false">IFERROR((E25*H25*((100+IF(L25="FP",S20,0)+IF(L25="FP",D18*S12,D19*S13)*M25)/100))/(IF(S25=0,AF30,S25))*IF(N25=0,AF18,N25),0)*Q25*R25*S17</f>
        <v>0</v>
      </c>
      <c r="N37" s="27"/>
      <c r="O37" s="27" t="n">
        <f aca="false">IFERROR((E26*H26*((100+IF(L26="FP",D18*S12,D19*S13)*M26))/100)/(IF(S26=0,AF30,S26))*IF(N26=0,AF18,N26),0)*Q26*R26*S17</f>
        <v>0</v>
      </c>
      <c r="P37" s="11"/>
      <c r="Q37" s="27" t="n">
        <f aca="false">IFERROR((E27*H27*((100+IF(L27="FP",D18*S12,D19*S13)*M27))/100)/(IF(S27=0,AF30,S27))*IF(N27=0,AF18,N27),0)*Q27*R27*S17</f>
        <v>0</v>
      </c>
      <c r="R37" s="11"/>
      <c r="S37" s="27" t="n">
        <f aca="false">IFERROR((E28*H28*((100+IF(L28="FP",D18*S12,D19*S13)*M28))/100)/(IF(S28=0,AF30,S28))*IF(N28=0,AF18,N28),0)*Q28*R28*S17</f>
        <v>0</v>
      </c>
      <c r="T37" s="11"/>
      <c r="U37" s="27" t="n">
        <f aca="false">IFERROR((E29*H29*((100+IF(L29="FP",D18*S12,D19*S13)*M29))/100)/(IF(S29=0,AF30,S29))*IF(N29=0,AF18,N29),0)*Q29*R29*S17</f>
        <v>0</v>
      </c>
      <c r="V37" s="27"/>
      <c r="W37" s="108"/>
      <c r="X37" s="108"/>
      <c r="Y37" s="108"/>
      <c r="Z37" s="45"/>
      <c r="AA37" s="45"/>
      <c r="AB37" s="45"/>
      <c r="AC37" s="58"/>
      <c r="AD37" s="45"/>
      <c r="AE37" s="58"/>
      <c r="AF37" s="55"/>
      <c r="AG37" s="45"/>
      <c r="AH37" s="45"/>
      <c r="AI37" s="45"/>
      <c r="AJ37" s="45"/>
      <c r="AK37" s="45"/>
      <c r="AL37" s="45"/>
      <c r="AM37" s="45"/>
      <c r="AN37" s="45"/>
    </row>
    <row r="38" customFormat="false" ht="14.4" hidden="false" customHeight="false" outlineLevel="0" collapsed="false">
      <c r="A38" s="1"/>
      <c r="B38" s="1"/>
      <c r="C38" s="63" t="s">
        <v>138</v>
      </c>
      <c r="D38" s="70" t="n">
        <f aca="false">D32/AF31</f>
        <v>284.658624971767</v>
      </c>
      <c r="E38" s="111"/>
      <c r="F38" s="70" t="n">
        <f aca="false">IFERROR(F32/(P20*I17+IF(I3="TORP",0,I18+H19)),0)</f>
        <v>0</v>
      </c>
      <c r="G38" s="111"/>
      <c r="H38" s="112" t="s">
        <v>140</v>
      </c>
      <c r="I38" s="70" t="n">
        <f aca="false">IFERROR((E23*I23*((100+IF(L23="FP",S20,0)+IF(L23="FP",D18*S12,D19*S13)*M23)/100))/(IF(S23=0,AF30,S23))*IF(N23=0,AF18,N23),0)*Q23*R23*S17</f>
        <v>0</v>
      </c>
      <c r="J38" s="27"/>
      <c r="K38" s="27" t="n">
        <f aca="false">IFERROR((E24*I24*((100+IF(L24="FP",D18*S12,D19*S13)*M24)/100))/(IF(S24=0,AF30,S24))*IF(N24=0,AF18,N24)*R24,0)*Q24*S17</f>
        <v>0</v>
      </c>
      <c r="L38" s="27"/>
      <c r="M38" s="27" t="n">
        <f aca="false">IFERROR((E25*I25*((100+IF(L25="FP",S20,0)+IF(L25="FP",D18*S12,D19*S13)*M25)/100))/(IF(S25=0,AF30,S25))*IF(N25=0,AF18,N25),0)*Q25*R25*S17</f>
        <v>0</v>
      </c>
      <c r="N38" s="27"/>
      <c r="O38" s="27" t="n">
        <f aca="false">IFERROR((E26*I26*((100+IF(L26="FP",D18*S12,D19*S13)*M26))/100)/(IF(S26=0,AF30,S26))*IF(N26=0,AF18,N26),0)*Q26*R26*S17</f>
        <v>0</v>
      </c>
      <c r="P38" s="11"/>
      <c r="Q38" s="27" t="n">
        <f aca="false">IFERROR((E27*I27*((100+IF(L27="FP",D18*S12,D19*S13)*M27))/100)/(IF(S27=0,AF30,S27))*IF(N27=0,AF18,N27),0)*Q27*R27*S17</f>
        <v>0</v>
      </c>
      <c r="R38" s="11"/>
      <c r="S38" s="27" t="n">
        <f aca="false">IFERROR((E28*I28*((100+IF(L28="FP",D18*S12,D19*S13)*M28))/100)/(IF(S28=0,AF30,S28))*IF(N28=0,AF18,N28),0)*Q28*R28*S17</f>
        <v>0</v>
      </c>
      <c r="T38" s="11"/>
      <c r="U38" s="27" t="n">
        <f aca="false">IFERROR((E29*I29*((100+IF(L29="FP",D18*S12,D19*S13)*M29))/100)/(IF(S29=0,AF30,S29))*IF(N29=0,AF18,N29),0)*Q29*R29*S17</f>
        <v>0</v>
      </c>
      <c r="V38" s="27"/>
      <c r="W38" s="108"/>
      <c r="X38" s="108"/>
      <c r="Y38" s="108"/>
      <c r="Z38" s="45"/>
      <c r="AA38" s="45"/>
      <c r="AB38" s="45"/>
      <c r="AC38" s="58"/>
      <c r="AD38" s="45"/>
      <c r="AE38" s="58"/>
      <c r="AF38" s="55"/>
      <c r="AG38" s="45"/>
      <c r="AH38" s="45"/>
      <c r="AI38" s="45"/>
      <c r="AJ38" s="45"/>
      <c r="AK38" s="45"/>
      <c r="AL38" s="45"/>
      <c r="AM38" s="45"/>
      <c r="AN38" s="45"/>
    </row>
    <row r="39" customFormat="false" ht="14.4" hidden="false" customHeight="false" outlineLevel="0" collapsed="false">
      <c r="A39" s="1"/>
      <c r="B39" s="1"/>
      <c r="C39" s="63" t="s">
        <v>140</v>
      </c>
      <c r="D39" s="70" t="n">
        <f aca="false">D33/AF31</f>
        <v>996.305187401183</v>
      </c>
      <c r="E39" s="111"/>
      <c r="F39" s="70" t="n">
        <f aca="false">IFERROR(F33/(P20*I17+IF(I3="TORP",0,I18+H19)),0)</f>
        <v>0</v>
      </c>
      <c r="G39" s="111"/>
      <c r="H39" s="112" t="s">
        <v>142</v>
      </c>
      <c r="I39" s="70" t="n">
        <f aca="false">IFERROR((E23*J23*((100+IF(L23="FP",S20,0)+IF(L23="FP",D18*S12,D19*S13)*M23)/100))/(IF(S23=0,AF30,S23))*IF(N23=0,AF18,N23),0)*Q23*R23*S17</f>
        <v>0</v>
      </c>
      <c r="J39" s="27"/>
      <c r="K39" s="27" t="n">
        <f aca="false">IFERROR((E24*J24*((100+IF(L24="FP",D18*S12,D19*S13)*M24)/100))/(IF(S24=0,AF30,S24))*IF(N24=0,AF18,N24)*R24,0)*Q24*S17</f>
        <v>0</v>
      </c>
      <c r="L39" s="27"/>
      <c r="M39" s="27" t="n">
        <f aca="false">IFERROR((E25*J25*((100+IF(L25="FP",S20,0)+IF(L25="FP",D18*S12,D19*S13)*M25)/100))/(IF(S25=0,AF30,S25))*IF(N25=0,AF18,N25),0)*Q25*R25*S17</f>
        <v>0</v>
      </c>
      <c r="N39" s="27"/>
      <c r="O39" s="27" t="n">
        <f aca="false">IFERROR((E26*J26*((100+IF(L26="FP",D18*S12,D19*S13)*M26))/100)/(IF(S26=0,AF30,S26))*IF(N26=0,AF18,N26),0)*Q26*R26*S17</f>
        <v>0</v>
      </c>
      <c r="P39" s="11"/>
      <c r="Q39" s="27" t="n">
        <f aca="false">IFERROR((E27*J27*((100+IF(L27="FP",D18*S12,D19*S13)*M27))/100)/(IF(S27=0,AF30,S27))*IF(N27=0,AF18,N27),0)*Q27*R27*S17</f>
        <v>0</v>
      </c>
      <c r="R39" s="11"/>
      <c r="S39" s="27" t="n">
        <f aca="false">IFERROR((E28*J28*((100+IF(L28="FP",D18*S12,D19*S13)*M28))/100)/(IF(S28=0,AF30,S28))*IF(N28=0,AF18,N28),0)*Q28*R28*S17</f>
        <v>0</v>
      </c>
      <c r="T39" s="11"/>
      <c r="U39" s="27" t="n">
        <f aca="false">IFERROR((E29*J29*((100+IF(L29="FP",D18*S12,D19*S13)*M29))/100)/(IF(S29=0,AF30,S29))*IF(N29=0,AF18,N29),0)*Q29*R29*S17</f>
        <v>0</v>
      </c>
      <c r="V39" s="27"/>
      <c r="W39" s="108"/>
      <c r="X39" s="108"/>
      <c r="Y39" s="108"/>
      <c r="Z39" s="108"/>
      <c r="AA39" s="108"/>
      <c r="AB39" s="108"/>
      <c r="AC39" s="58"/>
      <c r="AD39" s="45"/>
      <c r="AE39" s="58"/>
      <c r="AF39" s="55"/>
      <c r="AG39" s="45"/>
      <c r="AH39" s="45"/>
      <c r="AI39" s="45"/>
      <c r="AJ39" s="45"/>
      <c r="AK39" s="45"/>
      <c r="AL39" s="45"/>
      <c r="AM39" s="45"/>
      <c r="AN39" s="45"/>
    </row>
    <row r="40" customFormat="false" ht="14.4" hidden="false" customHeight="false" outlineLevel="0" collapsed="false">
      <c r="A40" s="1"/>
      <c r="B40" s="1"/>
      <c r="C40" s="63" t="s">
        <v>142</v>
      </c>
      <c r="D40" s="70" t="n">
        <f aca="false">D34/AF31</f>
        <v>853.9758749153</v>
      </c>
      <c r="E40" s="111"/>
      <c r="F40" s="70" t="n">
        <f aca="false">IFERROR(F34/(P20*I17+IF(I3="TORP",0,I18+H19)),0)</f>
        <v>0</v>
      </c>
      <c r="G40" s="111"/>
      <c r="H40" s="112" t="s">
        <v>238</v>
      </c>
      <c r="I40" s="70" t="n">
        <f aca="false">(((100+S20+D18*S12*M23)/100)*1*F23*AF8+5)*(1-(1-K23)^(G23))*5</f>
        <v>0</v>
      </c>
      <c r="J40" s="27"/>
      <c r="K40" s="27" t="n">
        <f aca="false">(((100+S20+D18*S12*M24)/100)*1*F24*AF8+5)*(1-(1-K24)^(G24))*5</f>
        <v>0</v>
      </c>
      <c r="L40" s="27"/>
      <c r="M40" s="27" t="n">
        <f aca="false">(((100+S20+D18*S12*M25)/100)*1*F25*AF8+5)*(1-(1-K25)^(G25))*5</f>
        <v>0</v>
      </c>
      <c r="N40" s="27"/>
      <c r="O40" s="27" t="n">
        <f aca="false">(((100+S20+D18*S12*M26)/100)*1*F26*AF8+5)*(1-(1-K26)^(G26))*5</f>
        <v>0</v>
      </c>
      <c r="P40" s="11"/>
      <c r="Q40" s="27" t="n">
        <f aca="false">(((100+S20+D18*S12*M27)/100)*1*F27*AF8+5)*(1-(1-K27)^(G27))*5</f>
        <v>0</v>
      </c>
      <c r="R40" s="11"/>
      <c r="S40" s="27" t="n">
        <f aca="false">(((100+S20+D18*S12*M28)/100)*1*F28*AF8+5)*(1-(1-K28)^(G28))*5</f>
        <v>0</v>
      </c>
      <c r="T40" s="11"/>
      <c r="U40" s="27" t="n">
        <f aca="false">(((100+S20+D18*S12*M29)/100)*1*F29*AF8+5)*(1-(1-K29)^(G29))*5</f>
        <v>0</v>
      </c>
      <c r="V40" s="27"/>
      <c r="W40" s="108"/>
      <c r="X40" s="108"/>
      <c r="Y40" s="108"/>
      <c r="Z40" s="108"/>
      <c r="AA40" s="108"/>
      <c r="AB40" s="108"/>
      <c r="AC40" s="58"/>
      <c r="AD40" s="45"/>
      <c r="AE40" s="58"/>
      <c r="AF40" s="55"/>
      <c r="AG40" s="45"/>
      <c r="AH40" s="45"/>
      <c r="AI40" s="45"/>
      <c r="AJ40" s="45"/>
      <c r="AK40" s="45"/>
      <c r="AL40" s="45"/>
      <c r="AM40" s="45"/>
      <c r="AN40" s="45"/>
    </row>
    <row r="41" customFormat="false" ht="14.4" hidden="false" customHeight="false" outlineLevel="0" collapsed="false">
      <c r="A41" s="1"/>
      <c r="B41" s="108"/>
      <c r="C41" s="63" t="s">
        <v>241</v>
      </c>
      <c r="D41" s="70" t="n">
        <f aca="false">D35/15*(MIN((15/(P20*H17+H19+H18)),1))</f>
        <v>0</v>
      </c>
      <c r="E41" s="111"/>
      <c r="F41" s="70" t="s">
        <v>58</v>
      </c>
      <c r="G41" s="111"/>
      <c r="H41" s="63" t="s">
        <v>241</v>
      </c>
      <c r="I41" s="27" t="n">
        <f aca="false">I40/15*(MIN((15/IF(P13=1,IF(S23=0,H17*P20+H19+H18,S23),AF30)),1))</f>
        <v>0</v>
      </c>
      <c r="J41" s="27"/>
      <c r="K41" s="27" t="n">
        <f aca="false">K40/15*(MIN((15/IF(P13=1,IF(S24=0,H17*P20+H19+H18,S24),AF30)),1))</f>
        <v>0</v>
      </c>
      <c r="L41" s="27"/>
      <c r="M41" s="27" t="n">
        <f aca="false">M40/15*(MIN((15/IF(P13=1,IF(S25=0,H17*P20+H19+H18,S25),AF30)),1))</f>
        <v>0</v>
      </c>
      <c r="N41" s="27"/>
      <c r="O41" s="27" t="n">
        <f aca="false">O40/15*(MIN((15/IF(P13=1,IF(S26=0,H17*P20+H19+H18,S26),AF30)),1))</f>
        <v>0</v>
      </c>
      <c r="P41" s="11"/>
      <c r="Q41" s="27" t="n">
        <f aca="false">Q40/15*(MIN((15/IF(P13=1,IF(S27=0,H17*P20+H19+H18,S27),AF30)),1))</f>
        <v>0</v>
      </c>
      <c r="R41" s="11"/>
      <c r="S41" s="27" t="n">
        <f aca="false">S40/15*(MIN((15/IF(P13=1,IF(S28=0,H17*P20+H19+H18,S28),AF30)),1))</f>
        <v>0</v>
      </c>
      <c r="T41" s="11"/>
      <c r="U41" s="27" t="n">
        <f aca="false">U40/15*(MIN((15/IF(P13=1,IF(S29=0,H17*P20+H19+H18,S29),AF30)),1))</f>
        <v>0</v>
      </c>
      <c r="V41" s="27"/>
      <c r="W41" s="108"/>
      <c r="X41" s="108"/>
      <c r="Y41" s="108"/>
      <c r="Z41" s="108"/>
      <c r="AA41" s="108"/>
      <c r="AB41" s="108"/>
      <c r="AC41" s="58"/>
      <c r="AD41" s="45"/>
      <c r="AE41" s="58"/>
      <c r="AF41" s="55"/>
      <c r="AG41" s="45"/>
      <c r="AH41" s="45"/>
      <c r="AI41" s="45"/>
      <c r="AJ41" s="45"/>
      <c r="AK41" s="45"/>
      <c r="AL41" s="45"/>
      <c r="AM41" s="45"/>
      <c r="AN41" s="45"/>
    </row>
    <row r="42" customFormat="false" ht="14.4" hidden="false" customHeight="false" outlineLevel="0" collapsed="false">
      <c r="A42" s="1"/>
      <c r="B42" s="1"/>
      <c r="C42" s="11"/>
      <c r="D42" s="11"/>
      <c r="E42" s="11"/>
      <c r="F42" s="11"/>
      <c r="G42" s="11"/>
      <c r="H42" s="11"/>
      <c r="I42" s="11"/>
      <c r="J42" s="11"/>
      <c r="K42" s="11"/>
      <c r="L42" s="11"/>
      <c r="M42" s="11"/>
      <c r="N42" s="11"/>
      <c r="O42" s="11"/>
      <c r="P42" s="11"/>
      <c r="Q42" s="11"/>
      <c r="R42" s="11"/>
      <c r="S42" s="11"/>
      <c r="T42" s="11"/>
      <c r="U42" s="11"/>
      <c r="V42" s="11"/>
      <c r="W42" s="1"/>
      <c r="X42" s="1"/>
      <c r="Y42" s="1"/>
      <c r="Z42" s="1"/>
      <c r="AA42" s="1"/>
      <c r="AB42" s="108"/>
      <c r="AC42" s="58"/>
      <c r="AD42" s="45"/>
      <c r="AE42" s="58"/>
      <c r="AF42" s="55"/>
      <c r="AG42" s="45"/>
      <c r="AH42" s="45"/>
      <c r="AI42" s="45"/>
      <c r="AJ42" s="45"/>
      <c r="AK42" s="45"/>
      <c r="AL42" s="45"/>
      <c r="AM42" s="45"/>
      <c r="AN42" s="45"/>
    </row>
    <row r="43" customFormat="false" ht="14.4" hidden="false" customHeight="false" outlineLevel="0" collapsed="false">
      <c r="A43" s="1"/>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58"/>
      <c r="AD43" s="45"/>
      <c r="AE43" s="58"/>
      <c r="AF43" s="55"/>
      <c r="AG43" s="45"/>
      <c r="AH43" s="45"/>
      <c r="AI43" s="45"/>
      <c r="AJ43" s="45"/>
      <c r="AK43" s="45"/>
      <c r="AL43" s="45"/>
      <c r="AM43" s="45"/>
      <c r="AN43" s="45"/>
    </row>
    <row r="44" customFormat="false" ht="14.4" hidden="false" customHeight="false" outlineLevel="0" collapsed="false">
      <c r="A44" s="1"/>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58"/>
      <c r="AD44" s="45"/>
      <c r="AE44" s="58"/>
      <c r="AF44" s="55"/>
      <c r="AG44" s="45"/>
      <c r="AH44" s="45"/>
      <c r="AI44" s="45"/>
      <c r="AJ44" s="45"/>
      <c r="AK44" s="45"/>
      <c r="AL44" s="45"/>
      <c r="AM44" s="45"/>
      <c r="AN44" s="45"/>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08"/>
      <c r="AC45" s="58"/>
      <c r="AD45" s="45"/>
      <c r="AE45" s="58"/>
      <c r="AF45" s="55"/>
      <c r="AG45" s="45"/>
      <c r="AH45" s="45"/>
      <c r="AI45" s="45"/>
      <c r="AJ45" s="45"/>
      <c r="AK45" s="45"/>
      <c r="AL45" s="45"/>
      <c r="AM45" s="45"/>
      <c r="AN45" s="45"/>
    </row>
    <row r="46" customFormat="false" ht="14.4" hidden="false" customHeight="false" outlineLevel="0" collapsed="false">
      <c r="A46" s="1"/>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58"/>
      <c r="AD46" s="45"/>
      <c r="AE46" s="58"/>
      <c r="AF46" s="55"/>
      <c r="AG46" s="45"/>
      <c r="AH46" s="45"/>
      <c r="AI46" s="45"/>
      <c r="AJ46" s="45"/>
      <c r="AK46" s="45"/>
      <c r="AL46" s="45"/>
      <c r="AM46" s="45"/>
      <c r="AN46" s="45"/>
    </row>
    <row r="47" customFormat="false" ht="14.4" hidden="false" customHeight="false" outlineLevel="0" collapsed="false">
      <c r="A47" s="1"/>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58"/>
      <c r="AD47" s="45"/>
      <c r="AE47" s="58"/>
      <c r="AF47" s="55"/>
      <c r="AG47" s="45"/>
      <c r="AH47" s="45"/>
      <c r="AI47" s="45"/>
      <c r="AJ47" s="45"/>
      <c r="AK47" s="45"/>
      <c r="AL47" s="45"/>
      <c r="AM47" s="45"/>
      <c r="AN47" s="45"/>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08"/>
      <c r="AC48" s="58"/>
      <c r="AD48" s="45"/>
      <c r="AE48" s="58"/>
      <c r="AF48" s="55"/>
      <c r="AG48" s="45"/>
      <c r="AH48" s="45"/>
      <c r="AI48" s="45"/>
      <c r="AJ48" s="45"/>
      <c r="AK48" s="45"/>
      <c r="AL48" s="45"/>
      <c r="AM48" s="45"/>
      <c r="AN48" s="45"/>
    </row>
    <row r="49" customFormat="false" ht="14.4" hidden="false" customHeight="false" outlineLevel="0" collapsed="false">
      <c r="A49" s="1"/>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55"/>
      <c r="AG49" s="45"/>
      <c r="AH49" s="45"/>
      <c r="AI49" s="45"/>
      <c r="AJ49" s="45"/>
      <c r="AK49" s="45"/>
      <c r="AL49" s="45"/>
      <c r="AM49" s="45"/>
      <c r="AN49" s="45"/>
    </row>
    <row r="50" customFormat="false" ht="14.4" hidden="false" customHeight="false" outlineLevel="0" collapsed="false">
      <c r="A50" s="1"/>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55"/>
      <c r="AG50" s="45"/>
      <c r="AH50" s="45"/>
      <c r="AI50" s="45"/>
      <c r="AJ50" s="45"/>
      <c r="AK50" s="45"/>
      <c r="AL50" s="45"/>
      <c r="AM50" s="45"/>
      <c r="AN50" s="45"/>
    </row>
    <row r="51" customFormat="false" ht="14.4" hidden="false" customHeight="false" outlineLevel="0" collapsed="false">
      <c r="A51" s="1"/>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55"/>
      <c r="AG51" s="45"/>
      <c r="AH51" s="45"/>
      <c r="AI51" s="45"/>
      <c r="AJ51" s="45"/>
      <c r="AK51" s="45"/>
      <c r="AL51" s="45"/>
      <c r="AM51" s="45"/>
      <c r="AN51" s="45"/>
    </row>
    <row r="52" customFormat="false" ht="14.4" hidden="false" customHeight="false" outlineLevel="0" collapsed="false">
      <c r="A52" s="1"/>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55"/>
      <c r="AG52" s="45"/>
      <c r="AH52" s="45"/>
      <c r="AI52" s="45"/>
      <c r="AJ52" s="45"/>
      <c r="AK52" s="45"/>
      <c r="AL52" s="45"/>
      <c r="AM52" s="45"/>
      <c r="AN52" s="45"/>
    </row>
    <row r="53" customFormat="false" ht="14.4" hidden="false" customHeight="false" outlineLevel="0" collapsed="false">
      <c r="A53" s="1"/>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55"/>
      <c r="AG53" s="45"/>
      <c r="AH53" s="45"/>
      <c r="AI53" s="45"/>
      <c r="AJ53" s="45"/>
      <c r="AK53" s="45"/>
      <c r="AL53" s="45"/>
      <c r="AM53" s="45"/>
      <c r="AN53" s="45"/>
    </row>
    <row r="57" customFormat="false" ht="14.4" hidden="false" customHeight="false" outlineLevel="0" collapsed="false">
      <c r="L57" s="113"/>
      <c r="T57" s="113"/>
    </row>
    <row r="58" customFormat="false" ht="14.4" hidden="false" customHeight="false" outlineLevel="0" collapsed="false">
      <c r="L58" s="113"/>
      <c r="T58" s="113"/>
    </row>
    <row r="59" customFormat="false" ht="14.4" hidden="false" customHeight="false" outlineLevel="0" collapsed="false">
      <c r="L59" s="113"/>
      <c r="T59" s="113"/>
    </row>
    <row r="60" customFormat="false" ht="14.4" hidden="false" customHeight="false" outlineLevel="0" collapsed="false">
      <c r="T60" s="114"/>
    </row>
    <row r="61" customFormat="false" ht="14.4" hidden="false" customHeight="false" outlineLevel="0" collapsed="false">
      <c r="L61" s="113"/>
    </row>
    <row r="65" customFormat="false" ht="14.4" hidden="false" customHeight="false" outlineLevel="0" collapsed="false">
      <c r="I65" s="113"/>
      <c r="J65" s="115"/>
    </row>
    <row r="66" customFormat="false" ht="14.4" hidden="false" customHeight="false" outlineLevel="0" collapsed="false">
      <c r="H66" s="113"/>
      <c r="I66" s="113"/>
      <c r="J66" s="115"/>
      <c r="L66" s="113"/>
    </row>
    <row r="67" customFormat="false" ht="14.4" hidden="false" customHeight="false" outlineLevel="0" collapsed="false">
      <c r="H67" s="113"/>
      <c r="I67" s="113"/>
      <c r="J67" s="115"/>
      <c r="L67" s="113"/>
    </row>
    <row r="68" customFormat="false" ht="14.4" hidden="false" customHeight="false" outlineLevel="0" collapsed="false">
      <c r="H68" s="113"/>
      <c r="I68" s="113"/>
      <c r="J68" s="115"/>
      <c r="L68" s="113"/>
    </row>
    <row r="69" customFormat="false" ht="14.4" hidden="false" customHeight="false" outlineLevel="0" collapsed="false">
      <c r="H69" s="113"/>
      <c r="I69" s="113"/>
      <c r="J69" s="115"/>
      <c r="L69" s="113"/>
    </row>
    <row r="71" customFormat="false" ht="14.4" hidden="false" customHeight="false" outlineLevel="0" collapsed="false">
      <c r="H71" s="113"/>
      <c r="K71" s="113"/>
    </row>
    <row r="72" customFormat="false" ht="14.4" hidden="false" customHeight="false" outlineLevel="0" collapsed="false">
      <c r="E72" s="116"/>
      <c r="H72" s="113"/>
      <c r="J72" s="113"/>
    </row>
    <row r="74" customFormat="false" ht="14.4" hidden="false" customHeight="false" outlineLevel="0" collapsed="false">
      <c r="F74" s="113"/>
      <c r="J74" s="117"/>
    </row>
    <row r="75" customFormat="false" ht="14.4" hidden="false" customHeight="false" outlineLevel="0" collapsed="false">
      <c r="F75" s="113"/>
      <c r="J75" s="113"/>
    </row>
  </sheetData>
  <mergeCells count="25">
    <mergeCell ref="AD2:AF2"/>
    <mergeCell ref="AG3:AH3"/>
    <mergeCell ref="K11:Y11"/>
    <mergeCell ref="Q12:R12"/>
    <mergeCell ref="Q13:R13"/>
    <mergeCell ref="Q14:R14"/>
    <mergeCell ref="Q15:R15"/>
    <mergeCell ref="Q16:R16"/>
    <mergeCell ref="Q17:R17"/>
    <mergeCell ref="O22:P22"/>
    <mergeCell ref="T22:U22"/>
    <mergeCell ref="O23:P23"/>
    <mergeCell ref="T23:U23"/>
    <mergeCell ref="O24:P24"/>
    <mergeCell ref="T24:U24"/>
    <mergeCell ref="O25:P25"/>
    <mergeCell ref="T25:U25"/>
    <mergeCell ref="O26:P26"/>
    <mergeCell ref="T26:U26"/>
    <mergeCell ref="O27:P27"/>
    <mergeCell ref="T27:U27"/>
    <mergeCell ref="O28:P28"/>
    <mergeCell ref="T28:U28"/>
    <mergeCell ref="O29:P29"/>
    <mergeCell ref="T29:U29"/>
  </mergeCells>
  <dataValidations count="11">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G3:I3" type="list">
      <formula1>INDIRECT("EquipType[Type]")</formula1>
      <formula2>0</formula2>
    </dataValidation>
    <dataValidation allowBlank="true" errorStyle="stop" operator="between" showDropDown="false" showErrorMessage="true" showInputMessage="true" sqref="L23:L29" type="list">
      <formula1>'Ship Stats'!$A$1084:$A$1086</formula1>
      <formula2>0</formula2>
    </dataValidation>
    <dataValidation allowBlank="true" errorStyle="stop" operator="between" showDropDown="false" showErrorMessage="true" showInputMessage="true" sqref="D2" type="list">
      <formula1>INDIRECT(INDEX(INDIRECT("SType[Type]"), MATCH(C2,INDIRECT("Stype[Ship]"), 0))&amp;"Table[Name]")</formula1>
      <formula2>0</formula2>
    </dataValidation>
    <dataValidation allowBlank="true" errorStyle="stop" operator="between" showDropDown="false" showErrorMessage="true" showInputMessage="true" sqref="C2" type="list">
      <formula1>INDIRECT("Stype[Ship]")</formula1>
      <formula2>0</formula2>
    </dataValidation>
    <dataValidation allowBlank="true" errorStyle="stop" operator="between" showDropDown="false" showErrorMessage="true" showInputMessage="true" sqref="I4" type="list">
      <formula1>INDIRECT($I$3&amp;"Table[Name]")</formula1>
      <formula2>0</formula2>
    </dataValidation>
    <dataValidation allowBlank="true" errorStyle="stop" operator="between" showDropDown="false" showErrorMessage="true" showInputMessage="true" sqref="E3:F3" type="list">
      <formula1>INDIRECT("AuxType[Type]")</formula1>
      <formula2>0</formula2>
    </dataValidation>
    <dataValidation allowBlank="true" errorStyle="stop" operator="between" showDropDown="false" showErrorMessage="true" showInputMessage="true" sqref="O23:O29" type="list">
      <formula1>INDIRECT("YNTable[Type]")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6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2" activeCellId="0" sqref="D22"/>
    </sheetView>
  </sheetViews>
  <sheetFormatPr defaultColWidth="8.58984375" defaultRowHeight="14.4" zeroHeight="false" outlineLevelRow="0" outlineLevelCol="0"/>
  <cols>
    <col collapsed="false" customWidth="true" hidden="false" outlineLevel="0" max="1" min="1" style="0" width="8.67"/>
    <col collapsed="false" customWidth="true" hidden="false" outlineLevel="0" max="2" min="2" style="0" width="9.66"/>
    <col collapsed="false" customWidth="true" hidden="false" outlineLevel="0" max="3" min="3" style="0" width="11.64"/>
    <col collapsed="false" customWidth="true" hidden="false" outlineLevel="0" max="8" min="4" style="0" width="13.66"/>
    <col collapsed="false" customWidth="true" hidden="false" outlineLevel="0" max="10" min="10" style="0" width="10.65"/>
    <col collapsed="false" customWidth="true" hidden="false" outlineLevel="0" max="11" min="11" style="0" width="10"/>
    <col collapsed="false" customWidth="true" hidden="false" outlineLevel="0" max="13" min="12" style="0" width="8.89"/>
    <col collapsed="false" customWidth="true" hidden="false" outlineLevel="0" max="15" min="15" style="0" width="8.89"/>
  </cols>
  <sheetData>
    <row r="1" customFormat="false" ht="14.4"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58"/>
      <c r="AA1" s="58"/>
      <c r="AB1" s="58"/>
      <c r="AC1" s="58"/>
      <c r="AD1" s="58"/>
      <c r="AE1" s="58"/>
      <c r="AF1" s="58"/>
      <c r="AG1" s="58"/>
      <c r="AH1" s="58"/>
      <c r="AI1" s="58"/>
      <c r="AJ1" s="58"/>
      <c r="AK1" s="58"/>
      <c r="AL1" s="58"/>
      <c r="AM1" s="58"/>
      <c r="AN1" s="58"/>
      <c r="AO1" s="58"/>
      <c r="AP1" s="58"/>
      <c r="AQ1" s="58"/>
    </row>
    <row r="2" customFormat="false" ht="14.4" hidden="false" customHeight="false" outlineLevel="0" collapsed="false">
      <c r="A2" s="1"/>
      <c r="B2" s="56" t="s">
        <v>242</v>
      </c>
      <c r="C2" s="15" t="s">
        <v>243</v>
      </c>
      <c r="D2" s="57" t="s">
        <v>116</v>
      </c>
      <c r="E2" s="57" t="s">
        <v>117</v>
      </c>
      <c r="F2" s="57" t="s">
        <v>244</v>
      </c>
      <c r="G2" s="57" t="s">
        <v>245</v>
      </c>
      <c r="H2" s="57" t="s">
        <v>246</v>
      </c>
      <c r="I2" s="1"/>
      <c r="J2" s="16"/>
      <c r="K2" s="16"/>
      <c r="L2" s="16"/>
      <c r="M2" s="16"/>
      <c r="N2" s="16"/>
      <c r="O2" s="16"/>
      <c r="P2" s="16"/>
      <c r="Q2" s="16"/>
      <c r="R2" s="58"/>
      <c r="S2" s="58"/>
      <c r="T2" s="58"/>
      <c r="U2" s="1"/>
      <c r="V2" s="1"/>
      <c r="W2" s="1"/>
      <c r="X2" s="1"/>
      <c r="Y2" s="1"/>
      <c r="Z2" s="58"/>
      <c r="AA2" s="58"/>
      <c r="AB2" s="34" t="s">
        <v>119</v>
      </c>
      <c r="AC2" s="34"/>
      <c r="AD2" s="34"/>
      <c r="AE2" s="34"/>
      <c r="AF2" s="58"/>
      <c r="AG2" s="58"/>
      <c r="AH2" s="58"/>
      <c r="AI2" s="58"/>
      <c r="AJ2" s="58"/>
      <c r="AK2" s="58"/>
      <c r="AL2" s="58"/>
      <c r="AM2" s="58"/>
      <c r="AN2" s="58"/>
      <c r="AO2" s="58"/>
      <c r="AP2" s="58"/>
      <c r="AQ2" s="58"/>
    </row>
    <row r="3" customFormat="false" ht="14.4" hidden="false" customHeight="false" outlineLevel="0" collapsed="false">
      <c r="A3" s="1"/>
      <c r="B3" s="20" t="s">
        <v>96</v>
      </c>
      <c r="C3" s="60" t="str">
        <f aca="false">IFERROR(INDEX(SType[],MATCH(C4,SType[Ship],0),COLUMN(SType[Type])),0)</f>
        <v>LightCarrier</v>
      </c>
      <c r="D3" s="56" t="s">
        <v>247</v>
      </c>
      <c r="E3" s="56" t="s">
        <v>120</v>
      </c>
      <c r="F3" s="56" t="s">
        <v>248</v>
      </c>
      <c r="G3" s="56" t="s">
        <v>249</v>
      </c>
      <c r="H3" s="56" t="s">
        <v>50</v>
      </c>
      <c r="I3" s="1"/>
      <c r="J3" s="61" t="str">
        <f aca="false">C2</f>
        <v>Unicorn</v>
      </c>
      <c r="K3" s="62"/>
      <c r="L3" s="63" t="s">
        <v>122</v>
      </c>
      <c r="M3" s="63"/>
      <c r="N3" s="63" t="s">
        <v>123</v>
      </c>
      <c r="O3" s="63"/>
      <c r="P3" s="63" t="s">
        <v>250</v>
      </c>
      <c r="Q3" s="63"/>
      <c r="R3" s="118" t="s">
        <v>251</v>
      </c>
      <c r="S3" s="30"/>
      <c r="T3" s="118" t="s">
        <v>252</v>
      </c>
      <c r="U3" s="118"/>
      <c r="V3" s="118" t="s">
        <v>253</v>
      </c>
      <c r="W3" s="30"/>
      <c r="X3" s="118" t="s">
        <v>254</v>
      </c>
      <c r="Y3" s="118"/>
      <c r="Z3" s="30"/>
      <c r="AA3" s="58"/>
      <c r="AB3" s="63" t="s">
        <v>255</v>
      </c>
      <c r="AC3" s="27" t="n">
        <f aca="false">SUM(C8:H8)</f>
        <v>597</v>
      </c>
      <c r="AD3" s="11"/>
      <c r="AE3" s="11"/>
      <c r="AF3" s="58"/>
      <c r="AG3" s="58"/>
      <c r="AH3" s="58"/>
      <c r="AI3" s="58"/>
      <c r="AJ3" s="58"/>
      <c r="AK3" s="58"/>
      <c r="AL3" s="58"/>
      <c r="AM3" s="58"/>
      <c r="AN3" s="58"/>
      <c r="AO3" s="58"/>
      <c r="AP3" s="58"/>
      <c r="AQ3" s="58"/>
    </row>
    <row r="4" customFormat="false" ht="14.4" hidden="false" customHeight="false" outlineLevel="0" collapsed="false">
      <c r="A4" s="1"/>
      <c r="B4" s="20" t="s">
        <v>97</v>
      </c>
      <c r="C4" s="60" t="str">
        <f aca="false">IFERROR(INDEX(Base[],MATCH(C2,Base[Akashi],0),COLUMN(Base[AR])),0)</f>
        <v>CVL</v>
      </c>
      <c r="D4" s="15" t="s">
        <v>256</v>
      </c>
      <c r="E4" s="15" t="s">
        <v>256</v>
      </c>
      <c r="F4" s="15" t="s">
        <v>257</v>
      </c>
      <c r="G4" s="15" t="s">
        <v>258</v>
      </c>
      <c r="H4" s="15" t="s">
        <v>135</v>
      </c>
      <c r="I4" s="1"/>
      <c r="J4" s="67"/>
      <c r="K4" s="68" t="s">
        <v>138</v>
      </c>
      <c r="L4" s="70" t="n">
        <f aca="false">SUM(W28:AA28)+SUM(W33:AK33)+SUM($W$47:$AK$47)+SUM($W$48:$AK$48)+SUM(W23:AA23)/$U$16*$X$12+(IF(NOT($S$23=0),W38,0)+IF(NOT($S$24=0),Y38,0)+IF(NOT($S$25=0),AA38,0)+IF(NOT($S$26=0),AC38,0)+IF(NOT($S$27=0),AE38,0)+IF(NOT($S$28=0),AG38,0)+IF(NOT($S$29=0),AI38,0)+IF(NOT($S$30=0),AK38,0))/$U$16</f>
        <v>1791.59349287084</v>
      </c>
      <c r="M4" s="70"/>
      <c r="N4" s="70" t="n">
        <f aca="false">(SUM(W28:AA28)+SUM(W33:AK33)+SUM(W23:AA23)/$U$16*$X$12+(IF(NOT($S$23=0),W38,0)+IF(NOT($S$24=0),Y38,0)+IF(NOT($S$25=0),AA38,0)+IF(NOT($S$26=0),AC38,0)+IF(NOT($S$27=0),AE38,0)+IF(NOT($S$28=0),AG38,0)+IF(NOT($S$29=0),AI38,0)+IF(NOT($S$30=0),AK38,0))/$U$16)*$AE$15+SUM($W$47:$AK$47)+SUM($W$48:$AK$48)</f>
        <v>1791.59349287084</v>
      </c>
      <c r="O4" s="70"/>
      <c r="P4" s="71" t="n">
        <f aca="false">SUM(R4,T4,X4,V4)</f>
        <v>205677.443950586</v>
      </c>
      <c r="Q4" s="70"/>
      <c r="R4" s="119" t="n">
        <f aca="false">(W23*FLOOR($U$16/$L$15,1)+W23*$X$12)*$O$10</f>
        <v>86716.1439626929</v>
      </c>
      <c r="S4" s="64"/>
      <c r="T4" s="119" t="n">
        <f aca="false">(Y23*FLOOR($U$16/$L$15,1)+Y23*$X$12)*$O$10</f>
        <v>118961.299987893</v>
      </c>
      <c r="U4" s="119"/>
      <c r="V4" s="64" t="n">
        <f aca="false">(AA23*FLOOR($U$16/$L$15,1)+AA23*$X$12)*$O$10</f>
        <v>0</v>
      </c>
      <c r="W4" s="30"/>
      <c r="X4" s="119" t="n">
        <f aca="false">((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19"/>
      <c r="Z4" s="30"/>
      <c r="AA4" s="58"/>
      <c r="AB4" s="63" t="s">
        <v>259</v>
      </c>
      <c r="AC4" s="27" t="n">
        <f aca="false">FLOOR(2*AC3*SUM(AC10:AE10)/100,1)</f>
        <v>537</v>
      </c>
      <c r="AD4" s="11"/>
      <c r="AE4" s="11"/>
      <c r="AF4" s="58"/>
      <c r="AG4" s="58"/>
      <c r="AH4" s="58"/>
      <c r="AI4" s="58"/>
      <c r="AJ4" s="58"/>
      <c r="AK4" s="58"/>
      <c r="AL4" s="58"/>
      <c r="AM4" s="58"/>
      <c r="AN4" s="58"/>
      <c r="AO4" s="58"/>
      <c r="AP4" s="58"/>
      <c r="AQ4" s="58"/>
    </row>
    <row r="5" customFormat="false" ht="14.4" hidden="false" customHeight="false" outlineLevel="0" collapsed="false">
      <c r="A5" s="1"/>
      <c r="B5" s="20" t="s">
        <v>96</v>
      </c>
      <c r="C5" s="72"/>
      <c r="D5" s="72"/>
      <c r="E5" s="72"/>
      <c r="F5" s="72" t="str">
        <f aca="true">IFERROR(INDEX(INDIRECT(C3&amp;"Table"),MATCH(C2,INDIRECT(C3&amp;"Table"&amp;"[Name]"),0),COLUMN(INDIRECT(C3&amp;"Table"&amp;"["&amp;B5&amp;"1"&amp;"]"))),0)</f>
        <v>F</v>
      </c>
      <c r="G5" s="72" t="str">
        <f aca="true">IFERROR(INDEX(INDIRECT(C3&amp;"Table"),MATCH(C2,INDIRECT(C3&amp;"Table"&amp;"[Name]"),0),COLUMN(INDIRECT(C3&amp;"Table"&amp;"["&amp;B5&amp;"2"&amp;"]"))),0)</f>
        <v>T</v>
      </c>
      <c r="H5" s="72" t="str">
        <f aca="true">IFERROR(INDEX(INDIRECT(C3&amp;"Table"),MATCH(C2,INDIRECT(C3&amp;"Table"&amp;"[Name]"),0),COLUMN(INDIRECT(C3&amp;"Table"&amp;"["&amp;B5&amp;"3"&amp;"]"))),0)</f>
        <v>AA</v>
      </c>
      <c r="I5" s="1"/>
      <c r="J5" s="67"/>
      <c r="K5" s="68" t="s">
        <v>140</v>
      </c>
      <c r="L5" s="70" t="n">
        <f aca="false">SUM(W29:AA29)+SUM(W34:AK34)+SUM($W$47:$AK$47)+SUM($W$48:$AK$48)+SUM(W24:AA24)/$U$16*$X$12+(IF(NOT($S$23=0),W39,0)+IF(NOT($S$24=0),Y39,0)+IF(NOT($S$25=0),AA39,0)+IF(NOT($S$26=0),AC39,0)+IF(NOT($S$27=0),AE39,0)+IF(NOT($S$28=0),AG39,0)+IF(NOT($S$29=0),AI39,0)+IF(NOT($S$30=0),AK39,0))/$U$16</f>
        <v>2274.60158120954</v>
      </c>
      <c r="M5" s="70"/>
      <c r="N5" s="70" t="n">
        <f aca="false">(SUM(W29:AA29)+SUM(W34:AK34)+SUM(W24:AA24)/$U$16*$X$12+(IF(NOT($S$23=0),W39,0)+IF(NOT($S$24=0),Y39,0)+IF(NOT($S$25=0),AA39,0)+IF(NOT($S$26=0),AC39,0)+IF(NOT($S$27=0),AE39,0)+IF(NOT($S$28=0),AG39,0)+IF(NOT($S$29=0),AI39,0)+IF(NOT($S$30=0),AK39,0))/$U$16)*$AE$15+SUM($W$47:$AK$47)+SUM($W$48:$AK$48)</f>
        <v>2274.60158120954</v>
      </c>
      <c r="O5" s="70"/>
      <c r="P5" s="71" t="n">
        <f aca="false">SUM(R5,T5,X5,V5)</f>
        <v>261127.449441383</v>
      </c>
      <c r="Q5" s="70"/>
      <c r="R5" s="119" t="n">
        <f aca="false">(W24*FLOOR($U$16/$L$15,1)+W24*$X$12)*$O$10</f>
        <v>97555.6619580296</v>
      </c>
      <c r="S5" s="64"/>
      <c r="T5" s="119" t="n">
        <f aca="false">(Y24*FLOOR($U$16/$L$15,1)+Y24*$X$12)*$O$10</f>
        <v>163571.787483353</v>
      </c>
      <c r="U5" s="119"/>
      <c r="V5" s="64" t="n">
        <f aca="false">(AA24*FLOOR($U$16/$L$15,1)+AA24*$X$12)*$O$10</f>
        <v>0</v>
      </c>
      <c r="W5" s="30"/>
      <c r="X5" s="119" t="n">
        <f aca="false">((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19"/>
      <c r="Z5" s="30"/>
      <c r="AA5" s="58"/>
      <c r="AB5" s="11"/>
      <c r="AC5" s="11"/>
      <c r="AD5" s="11"/>
      <c r="AE5" s="11"/>
      <c r="AF5" s="58"/>
      <c r="AG5" s="58"/>
      <c r="AH5" s="58"/>
      <c r="AI5" s="58"/>
      <c r="AJ5" s="58"/>
      <c r="AK5" s="58"/>
      <c r="AL5" s="58"/>
      <c r="AM5" s="58"/>
      <c r="AN5" s="58"/>
      <c r="AO5" s="58"/>
      <c r="AP5" s="58"/>
      <c r="AQ5" s="58"/>
    </row>
    <row r="6" customFormat="false" ht="14.4" hidden="false" customHeight="false" outlineLevel="0" collapsed="false">
      <c r="A6" s="1"/>
      <c r="B6" s="20" t="s">
        <v>260</v>
      </c>
      <c r="C6" s="72" t="n">
        <v>0</v>
      </c>
      <c r="D6" s="72" t="n">
        <v>0</v>
      </c>
      <c r="E6" s="72" t="n">
        <v>0</v>
      </c>
      <c r="F6" s="72" t="n">
        <f aca="true">IFERROR(INDEX(INDIRECT(C3&amp;"Table"),MATCH(C2,INDIRECT(C3&amp;"Table"&amp;"[Name]"),0),COLUMN(INDIRECT(C3&amp;"Table"&amp;"["&amp;"Plane1"&amp;"]"))),0)</f>
        <v>3</v>
      </c>
      <c r="G6" s="72" t="n">
        <f aca="true">IFERROR(INDEX(INDIRECT(C3&amp;"Table"),MATCH(C2,INDIRECT(C3&amp;"Table"&amp;"[Name]"),0),COLUMN(INDIRECT(C3&amp;"Table"&amp;"["&amp;"Plane2"&amp;"]"))),0)</f>
        <v>3</v>
      </c>
      <c r="H6" s="72" t="n">
        <f aca="true">IFERROR(INDEX(INDIRECT(C3&amp;"Table"),MATCH(C2,INDIRECT(C3&amp;"Table"&amp;"[Name]"),0),COLUMN(INDIRECT(C3&amp;"Table"&amp;"["&amp;"Plane3"&amp;"]"))),0)</f>
        <v>0</v>
      </c>
      <c r="I6" s="1"/>
      <c r="J6" s="67"/>
      <c r="K6" s="68" t="s">
        <v>142</v>
      </c>
      <c r="L6" s="70" t="n">
        <f aca="false">SUM(W30:AA30)+SUM(W35:AK35)+SUM($W$47:$AK$47)+SUM($W$48:$AK$48)+SUM(W25:AA25)/$U$16*$X$12+(IF(NOT($S$23=0),W40,0)+IF(NOT($S$24=0),Y40,0)+IF(NOT($S$25=0),AA40,0)+IF(NOT($S$26=0),AC40,0)+IF(NOT($S$27=0),AE40,0)+IF(NOT($S$28=0),AG40,0)+IF(NOT($S$29=0),AI40,0)+IF(NOT($S$30=0),AK40,0))/$U$16</f>
        <v>2722.49995442725</v>
      </c>
      <c r="M6" s="70"/>
      <c r="N6" s="70" t="n">
        <f aca="false">(SUM(W30:AA30)+SUM(W35:AK35)+SUM(W25:AA25)/$U$16*$X$12+(IF(NOT($S$23=0),W40,0)+IF(NOT($S$24=0),Y40,0)+IF(NOT($S$25=0),AA40,0)+IF(NOT($S$26=0),AC40,0)+IF(NOT($S$27=0),AE40,0)+IF(NOT($S$28=0),AG40,0)+IF(NOT($S$29=0),AI40,0)+IF(NOT($S$30=0),AK40,0))/$U$16)*$AE$15+SUM($W$47:$AK$47)+SUM($W$48:$AK$48)</f>
        <v>2722.49995442725</v>
      </c>
      <c r="O6" s="70"/>
      <c r="P6" s="71" t="n">
        <f aca="false">SUM(R6,T6,X6,V6)</f>
        <v>312546.810429029</v>
      </c>
      <c r="Q6" s="70"/>
      <c r="R6" s="119" t="n">
        <f aca="false">(W25*FLOOR($U$16/$L$15,1)+W25*$X$12)*$O$10</f>
        <v>119234.697948703</v>
      </c>
      <c r="S6" s="64"/>
      <c r="T6" s="119" t="n">
        <f aca="false">(Y25*FLOOR($U$16/$L$15,1)+Y25*$X$12)*$O$10</f>
        <v>193312.112480326</v>
      </c>
      <c r="U6" s="119"/>
      <c r="V6" s="64" t="n">
        <f aca="false">(AA25*FLOOR($U$16/$L$15,1)+AA25*$X$12)*$O$10</f>
        <v>0</v>
      </c>
      <c r="W6" s="30"/>
      <c r="X6" s="119" t="n">
        <f aca="false">((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19"/>
      <c r="Z6" s="30"/>
      <c r="AA6" s="58"/>
      <c r="AB6" s="11"/>
      <c r="AC6" s="63" t="s">
        <v>244</v>
      </c>
      <c r="AD6" s="63" t="s">
        <v>245</v>
      </c>
      <c r="AE6" s="63" t="s">
        <v>245</v>
      </c>
      <c r="AF6" s="58"/>
      <c r="AG6" s="58"/>
      <c r="AH6" s="58"/>
      <c r="AI6" s="58"/>
      <c r="AJ6" s="58"/>
      <c r="AK6" s="58"/>
      <c r="AL6" s="58"/>
      <c r="AM6" s="58"/>
      <c r="AN6" s="58"/>
      <c r="AO6" s="58"/>
      <c r="AP6" s="58"/>
      <c r="AQ6" s="58"/>
    </row>
    <row r="7" customFormat="false" ht="14.4" hidden="false" customHeight="false" outlineLevel="0" collapsed="false">
      <c r="A7" s="1"/>
      <c r="B7" s="20" t="s">
        <v>45</v>
      </c>
      <c r="C7" s="72" t="n">
        <f aca="true">IFERROR(INDEX(INDIRECT(C3&amp;"Table"),MATCH(C2,INDIRECT(C3&amp;"Table"&amp;"[Name]"),0),COLUMN(INDIRECT(C3&amp;"Table"&amp;"["&amp;B7&amp;"]"))),0)</f>
        <v>5337</v>
      </c>
      <c r="D7" s="72" t="n">
        <f aca="true">IFERROR(INDEX(INDIRECT(D3&amp;"Table"),MATCH(D4,INDIRECT(D3&amp;"Table"&amp;"[Name]"),0),COLUMN(INDIRECT(D3&amp;"Table"&amp;"["&amp;B7&amp;"]"))),0)</f>
        <v>75</v>
      </c>
      <c r="E7" s="72" t="n">
        <f aca="true">IFERROR(INDEX(INDIRECT(E3&amp;"Table"),MATCH(E4,INDIRECT(E3&amp;"Table"&amp;"[Name]"),0),COLUMN(INDIRECT(E3&amp;"Table"&amp;"["&amp;B7&amp;"]"))),0)</f>
        <v>75</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1"/>
      <c r="J7" s="67"/>
      <c r="K7" s="67"/>
      <c r="L7" s="64"/>
      <c r="M7" s="64"/>
      <c r="N7" s="64"/>
      <c r="O7" s="64"/>
      <c r="P7" s="64"/>
      <c r="Q7" s="70"/>
      <c r="R7" s="64"/>
      <c r="S7" s="64"/>
      <c r="T7" s="64"/>
      <c r="U7" s="64"/>
      <c r="V7" s="64"/>
      <c r="W7" s="64"/>
      <c r="X7" s="64"/>
      <c r="Y7" s="64"/>
      <c r="Z7" s="64"/>
      <c r="AA7" s="58"/>
      <c r="AB7" s="63" t="s">
        <v>261</v>
      </c>
      <c r="AC7" s="27" t="n">
        <f aca="false">IFERROR(INDEX(IF(F3="TB",TorpedoDamage[],IF($U$17="Y",BombDamageEmpirical[],BombDamage[])),MATCH(F4,IF(F3="TB",TorpedoDamage[Name],IF($U$17="Y",BombDamageEmpirical[Name],BombDamage[Name])),0),COLUMN(IF(F3="TB",TorpedoDamage[Light],IF($U$17="Y",BombDamageEmpirical[Light],BombDamage[Light])))),0)</f>
        <v>608</v>
      </c>
      <c r="AD7" s="27" t="n">
        <f aca="false">IFERROR(INDEX(IF(G3="TB",TorpedoDamage[],IF($U$17="Y",BombDamageEmpirical[],BombDamage[])),MATCH(G4,IF(G3="TB",TorpedoDamage[Name],IF($U$17="Y",BombDamageEmpirical[Name],BombDamage[Name])),0),COLUMN(IF(G3="TB",TorpedoDamage[Light],IF($U$17="Y",BombDamageEmpirical[Light],BombDamage[Light])))),0)</f>
        <v>691.2</v>
      </c>
      <c r="AE7" s="27" t="n">
        <f aca="false">IFERROR(INDEX(IF(H3="TB",TorpedoDamage[],IF($U$17="Y",BombDamageEmpirical[],BombDamage[])),MATCH(H4,IF(H3="TB",TorpedoDamage[Name],IF($U$17="Y",BombDamageEmpirical[Name],BombDamage[Name])),0),COLUMN(IF(H3="TB",TorpedoDamage[Light],IF($U$17="Y",BombDamageEmpirical[Light],BombDamage[Light])))),0)</f>
        <v>0</v>
      </c>
      <c r="AF7" s="58"/>
      <c r="AG7" s="58"/>
      <c r="AH7" s="58"/>
      <c r="AI7" s="58"/>
      <c r="AJ7" s="58"/>
      <c r="AK7" s="58"/>
      <c r="AL7" s="58"/>
      <c r="AM7" s="58"/>
      <c r="AN7" s="58"/>
      <c r="AO7" s="58"/>
      <c r="AP7" s="58"/>
      <c r="AQ7" s="58"/>
    </row>
    <row r="8" customFormat="false" ht="14.4" hidden="false" customHeight="false" outlineLevel="0" collapsed="false">
      <c r="A8" s="1"/>
      <c r="B8" s="20" t="s">
        <v>262</v>
      </c>
      <c r="C8" s="72" t="n">
        <f aca="true">IFERROR(INDEX(INDIRECT(C3&amp;"Table"),MATCH(C2,INDIRECT(C3&amp;"Table"&amp;"[Name]"),0),COLUMN(INDIRECT(C3&amp;"Table"&amp;"["&amp;B8&amp;"]"))),0)</f>
        <v>307</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45</v>
      </c>
      <c r="G8" s="72" t="n">
        <f aca="true">IFERROR(INDEX(INDIRECT(G3&amp;"Table"),MATCH(G4,INDIRECT(G3&amp;"Table"&amp;"[Name]"),0),COLUMN(INDIRECT(G3&amp;"Table"&amp;"["&amp;B8&amp;"]"))),0)</f>
        <v>45</v>
      </c>
      <c r="H8" s="72" t="n">
        <f aca="true">IFERROR(INDEX(INDIRECT(H3&amp;"Table"),MATCH(H4,INDIRECT(H3&amp;"Table"&amp;"[Name]"),0),COLUMN(INDIRECT(H3&amp;"Table"&amp;"["&amp;B8&amp;"]"))),0)</f>
        <v>0</v>
      </c>
      <c r="I8" s="1"/>
      <c r="J8" s="67" t="s">
        <v>144</v>
      </c>
      <c r="K8" s="76" t="n">
        <f aca="false">AE13</f>
        <v>54870</v>
      </c>
      <c r="L8" s="70"/>
      <c r="M8" s="67" t="s">
        <v>263</v>
      </c>
      <c r="N8" s="75"/>
      <c r="O8" s="120" t="n">
        <f aca="false">FLOOR(U16/L15,1)+X12</f>
        <v>6</v>
      </c>
      <c r="P8" s="64"/>
      <c r="Q8" s="76" t="str">
        <f aca="false">F4</f>
        <v>VF-17 Squadron</v>
      </c>
      <c r="R8" s="27"/>
      <c r="S8" s="27" t="str">
        <f aca="false">D4</f>
        <v>Steam Catapult</v>
      </c>
      <c r="T8" s="27"/>
      <c r="U8" s="27"/>
      <c r="V8" s="27"/>
      <c r="W8" s="27"/>
      <c r="X8" s="27"/>
      <c r="Y8" s="27"/>
      <c r="Z8" s="27"/>
      <c r="AA8" s="58"/>
      <c r="AB8" s="63" t="s">
        <v>264</v>
      </c>
      <c r="AC8" s="27" t="n">
        <f aca="false">IFERROR(INDEX(IF(F3="TB",TorpedoDamage[],IF($U$17="Y",BombDamageEmpirical[],BombDamage[])),MATCH(F4,IF(F3="TB",TorpedoDamage[Name],IF($U$17="Y",BombDamageEmpirical[Name],BombDamage[Name])),0),COLUMN(IF(F3="TB",TorpedoDamage[Light],IF($U$17="Y",BombDamageEmpirical[Medium],BombDamage[Medium])))),0)</f>
        <v>684</v>
      </c>
      <c r="AD8" s="27" t="n">
        <f aca="false">IFERROR(INDEX(IF(G3="TB",TorpedoDamage[],IF($U$17="Y",BombDamageEmpirical[],BombDamage[])),MATCH(G4,IF(G3="TB",TorpedoDamage[Name],IF($U$17="Y",BombDamageEmpirical[Name],BombDamage[Name])),0),COLUMN(IF(G3="TB",TorpedoDamage[Medium],IF($U$17="Y",BombDamageEmpirical[Medium],BombDamage[Medium])))),0)</f>
        <v>950.4</v>
      </c>
      <c r="AE8" s="27" t="n">
        <f aca="false">IFERROR(INDEX(IF(H3="TB",TorpedoDamage[],IF($U$17="Y",BombDamageEmpirical[],BombDamage[])),MATCH(H4,IF(H3="TB",TorpedoDamage[Name],IF($U$17="Y",BombDamageEmpirical[Name],BombDamage[Name])),0),COLUMN(IF(H3="TB",TorpedoDamage[Medium],IF($U$17="Y",BombDamageEmpirical[Medium],BombDamage[Medium])))),0)</f>
        <v>0</v>
      </c>
      <c r="AF8" s="58"/>
      <c r="AG8" s="58"/>
      <c r="AH8" s="58"/>
      <c r="AI8" s="58"/>
      <c r="AJ8" s="58"/>
      <c r="AK8" s="58"/>
      <c r="AL8" s="58"/>
      <c r="AM8" s="58"/>
      <c r="AN8" s="58"/>
      <c r="AO8" s="58"/>
      <c r="AP8" s="58"/>
      <c r="AQ8" s="58"/>
    </row>
    <row r="9" customFormat="false" ht="14.4" hidden="false" customHeight="false" outlineLevel="0" collapsed="false">
      <c r="A9" s="1"/>
      <c r="B9" s="20" t="s">
        <v>151</v>
      </c>
      <c r="C9" s="72" t="n">
        <v>1</v>
      </c>
      <c r="D9" s="72" t="n">
        <v>0</v>
      </c>
      <c r="E9" s="72" t="n">
        <v>0</v>
      </c>
      <c r="F9" s="72" t="n">
        <f aca="true">IFERROR(INDEX(INDIRECT(C3&amp;"Table"),MATCH(C2,INDIRECT(C3&amp;"Table"&amp;"[Name]"),0),COLUMN(INDIRECT(C3&amp;"Table"&amp;"["&amp;"EFF"&amp;"]"))),0)</f>
        <v>1.3</v>
      </c>
      <c r="G9" s="72" t="n">
        <f aca="true">IFERROR(INDEX(INDIRECT(C3&amp;"Table"),MATCH(C2,INDIRECT(C3&amp;"Table"&amp;"[Name]"),0),COLUMN(INDIRECT(C3&amp;"Table"&amp;"["&amp;"SECEFF"&amp;"]"))),0)</f>
        <v>1.3</v>
      </c>
      <c r="H9" s="72" t="n">
        <f aca="true">IFERROR(INDEX(INDIRECT(C3&amp;"Table"),MATCH(C2,INDIRECT(C3&amp;"Table"&amp;"[Name]"),0),COLUMN(INDIRECT(C3&amp;"Table"&amp;"["&amp;"TRIEFF"&amp;"]"))),0)</f>
        <v>0.8</v>
      </c>
      <c r="I9" s="1"/>
      <c r="J9" s="67" t="s">
        <v>259</v>
      </c>
      <c r="K9" s="76" t="n">
        <f aca="false">AC4</f>
        <v>537</v>
      </c>
      <c r="L9" s="70"/>
      <c r="M9" s="67" t="s">
        <v>265</v>
      </c>
      <c r="N9" s="67"/>
      <c r="O9" s="121" t="n">
        <f aca="false">AE18</f>
        <v>0.1</v>
      </c>
      <c r="P9" s="44"/>
      <c r="Q9" s="76" t="str">
        <f aca="false">G4</f>
        <v>Fairey Barracuda</v>
      </c>
      <c r="R9" s="27"/>
      <c r="S9" s="27" t="str">
        <f aca="false">E4</f>
        <v>Steam Catapult</v>
      </c>
      <c r="T9" s="27"/>
      <c r="U9" s="27"/>
      <c r="V9" s="27"/>
      <c r="W9" s="27"/>
      <c r="X9" s="27"/>
      <c r="Y9" s="27"/>
      <c r="Z9" s="27"/>
      <c r="AA9" s="58"/>
      <c r="AB9" s="63" t="s">
        <v>266</v>
      </c>
      <c r="AC9" s="27" t="n">
        <f aca="false">IFERROR(INDEX(IF(F3="TB",TorpedoDamage[],IF($U$17="Y",BombDamageEmpirical[],BombDamage[])),MATCH(F4,IF(F3="TB",TorpedoDamage[Name],IF($U$17="Y",BombDamageEmpirical[Name],BombDamage[Name])),0),COLUMN(IF(F3="TB",TorpedoDamage[Light],IF($U$17="Y",BombDamageEmpirical[Heavy],BombDamage[Heavy])))),0)</f>
        <v>836</v>
      </c>
      <c r="AD9" s="27" t="n">
        <f aca="false">IFERROR(INDEX(IF(G3="TB",TorpedoDamage[],IF($U$17="Y",BombDamageEmpirical[],BombDamage[])),MATCH(G4,IF(G3="TB",TorpedoDamage[Name],IF($U$17="Y",BombDamageEmpirical[Name],BombDamage[Name])),0),COLUMN(IF(G3="TB",TorpedoDamage[Heavy],IF($U$17="Y",BombDamageEmpirical[Heavy],BombDamage[Heavy])))),0)</f>
        <v>1123.2</v>
      </c>
      <c r="AE9" s="27" t="n">
        <f aca="false">IFERROR(INDEX(IF(H3="TB",TorpedoDamage[],IF($U$17="Y",BombDamageEmpirical[],BombDamage[])),MATCH(H4,IF(H3="TB",TorpedoDamage[Name],IF($U$17="Y",BombDamageEmpirical[Name],BombDamage[Name])),0),COLUMN(IF(H3="TB",TorpedoDamage[Heavy],IF($U$17="Y",BombDamageEmpirical[Heavy],BombDamage[Heavy])))),0)</f>
        <v>0</v>
      </c>
      <c r="AF9" s="58"/>
      <c r="AG9" s="58"/>
      <c r="AH9" s="58"/>
      <c r="AI9" s="58"/>
      <c r="AJ9" s="58"/>
      <c r="AK9" s="58"/>
      <c r="AL9" s="58"/>
      <c r="AM9" s="58"/>
      <c r="AN9" s="58"/>
      <c r="AO9" s="58"/>
      <c r="AP9" s="58"/>
      <c r="AQ9" s="58"/>
    </row>
    <row r="10" customFormat="false" ht="14.4" hidden="false" customHeight="false" outlineLevel="0" collapsed="false">
      <c r="A10" s="1"/>
      <c r="B10" s="20" t="s">
        <v>100</v>
      </c>
      <c r="C10" s="72" t="n">
        <f aca="true">IFERROR(INDEX(INDIRECT(C3&amp;"Table"),MATCH(C2,INDIRECT(C3&amp;"Table"&amp;"[Name]"),0),COLUMN(INDIRECT(C3&amp;"Table"&amp;"["&amp;B10&amp;"]"))),0)</f>
        <v>181</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0</v>
      </c>
      <c r="I10" s="1"/>
      <c r="J10" s="67" t="s">
        <v>267</v>
      </c>
      <c r="K10" s="69" t="n">
        <f aca="false">L15</f>
        <v>19.1335669213863</v>
      </c>
      <c r="L10" s="70"/>
      <c r="M10" s="67" t="s">
        <v>148</v>
      </c>
      <c r="N10" s="67"/>
      <c r="O10" s="121" t="n">
        <f aca="false">AE15</f>
        <v>1</v>
      </c>
      <c r="P10" s="44"/>
      <c r="Q10" s="76" t="str">
        <f aca="false">H4</f>
        <v>2x40mm STAAG</v>
      </c>
      <c r="R10" s="27"/>
      <c r="S10" s="27"/>
      <c r="T10" s="27"/>
      <c r="U10" s="27"/>
      <c r="V10" s="27"/>
      <c r="W10" s="27"/>
      <c r="X10" s="27"/>
      <c r="Y10" s="27"/>
      <c r="Z10" s="27"/>
      <c r="AA10" s="58"/>
      <c r="AB10" s="63" t="s">
        <v>268</v>
      </c>
      <c r="AC10" s="27" t="n">
        <f aca="false">(IF(F5="F",10*F6,IF(F5="B",6*F6,IF(F5="T",5*F6,0))))</f>
        <v>30</v>
      </c>
      <c r="AD10" s="27" t="n">
        <f aca="false">(IF(G5="F",10*G6,IF(G5="B",6*G6,IF(G5="T",5*G6,0))))</f>
        <v>15</v>
      </c>
      <c r="AE10" s="27" t="n">
        <f aca="false">(IF(H5="F",10*H6,IF(H5="B",6*H6,IF(H5="T",5*H6,0))))</f>
        <v>0</v>
      </c>
      <c r="AF10" s="58"/>
      <c r="AG10" s="58"/>
      <c r="AH10" s="58"/>
      <c r="AI10" s="58"/>
      <c r="AJ10" s="58"/>
      <c r="AK10" s="58"/>
      <c r="AL10" s="58"/>
      <c r="AM10" s="58"/>
      <c r="AN10" s="58"/>
      <c r="AO10" s="58"/>
      <c r="AP10" s="58"/>
      <c r="AQ10" s="58"/>
    </row>
    <row r="11" customFormat="false" ht="14.4" hidden="false" customHeight="false" outlineLevel="0" collapsed="false">
      <c r="A11" s="1"/>
      <c r="B11" s="20" t="s">
        <v>46</v>
      </c>
      <c r="C11" s="72" t="n">
        <f aca="true">IFERROR(INDEX(INDIRECT(C3&amp;"Table"),MATCH(C2,INDIRECT(C3&amp;"Table"&amp;"[Name]"),0),COLUMN(INDIRECT(C3&amp;"Table"&amp;"["&amp;B11&amp;"]"))),0)</f>
        <v>66</v>
      </c>
      <c r="D11" s="72" t="n">
        <f aca="true">IFERROR(INDEX(INDIRECT(D3&amp;"Table"),MATCH(D4,INDIRECT(D3&amp;"Table"&amp;"[Name]"),0),COLUMN(INDIRECT(D3&amp;"Table"&amp;"["&amp;B11&amp;"]"))),0)</f>
        <v>0</v>
      </c>
      <c r="E11" s="72" t="n">
        <f aca="true">IFERROR(INDEX(INDIRECT(E3&amp;"Table"),MATCH(E4,INDIRECT(E3&amp;"Table"&amp;"[Name]"),0),COLUMN(INDIRECT(E3&amp;"Table"&amp;"["&amp;B11&amp;"]"))),0)</f>
        <v>0</v>
      </c>
      <c r="F11" s="72" t="n">
        <f aca="true">IFERROR(INDEX(INDIRECT(F3&amp;"Table"),MATCH(F4,INDIRECT(F3&amp;"Table"&amp;"[Name]"),0),COLUMN(INDIRECT(F3&amp;"Table"&amp;"["&amp;B11&amp;"]"))),0)</f>
        <v>0</v>
      </c>
      <c r="G11" s="72" t="n">
        <f aca="true">IFERROR(INDEX(INDIRECT(G3&amp;"Table"),MATCH(G4,INDIRECT(G3&amp;"Table"&amp;"[Name]"),0),COLUMN(INDIRECT(G3&amp;"Table"&amp;"["&amp;B11&amp;"]"))),0)</f>
        <v>0</v>
      </c>
      <c r="H11" s="72" t="n">
        <f aca="true">IFERROR(INDEX(INDIRECT(H3&amp;"Table"),MATCH(H4,INDIRECT(H3&amp;"Table"&amp;"[Name]"),0),COLUMN(INDIRECT(H3&amp;"Table"&amp;"["&amp;B11&amp;"]"))),0)</f>
        <v>0</v>
      </c>
      <c r="I11" s="1"/>
      <c r="J11" s="80" t="s">
        <v>61</v>
      </c>
      <c r="K11" s="80"/>
      <c r="L11" s="80"/>
      <c r="M11" s="80"/>
      <c r="N11" s="80"/>
      <c r="O11" s="80"/>
      <c r="P11" s="80"/>
      <c r="Q11" s="80"/>
      <c r="R11" s="80"/>
      <c r="S11" s="80"/>
      <c r="T11" s="80"/>
      <c r="U11" s="80"/>
      <c r="V11" s="80"/>
      <c r="W11" s="80"/>
      <c r="X11" s="80"/>
      <c r="Y11" s="1"/>
      <c r="Z11" s="58"/>
      <c r="AA11" s="58"/>
      <c r="AB11" s="122"/>
      <c r="AC11" s="122"/>
      <c r="AD11" s="11"/>
      <c r="AE11" s="27"/>
      <c r="AF11" s="58"/>
      <c r="AG11" s="58"/>
      <c r="AH11" s="58"/>
      <c r="AI11" s="58"/>
      <c r="AJ11" s="58"/>
      <c r="AK11" s="58"/>
      <c r="AL11" s="58"/>
      <c r="AM11" s="58"/>
      <c r="AN11" s="58"/>
      <c r="AO11" s="58"/>
      <c r="AP11" s="58"/>
      <c r="AQ11" s="58"/>
    </row>
    <row r="12" customFormat="false" ht="14.4" hidden="false" customHeight="false" outlineLevel="0" collapsed="false">
      <c r="A12" s="1"/>
      <c r="B12" s="20" t="s">
        <v>52</v>
      </c>
      <c r="C12" s="72" t="n">
        <f aca="true">IFERROR(INDEX(INDIRECT(C3&amp;"Table"),MATCH(C2,INDIRECT(C3&amp;"Table"&amp;"[Name]"),0),COLUMN(INDIRECT(C3&amp;"Table"&amp;"["&amp;B12&amp;"]"))),0)</f>
        <v>78</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f>
        <v>0</v>
      </c>
      <c r="I12" s="1"/>
      <c r="J12" s="17" t="s">
        <v>194</v>
      </c>
      <c r="K12" s="14"/>
      <c r="L12" s="89" t="n">
        <v>0.1</v>
      </c>
      <c r="M12" s="82" t="s">
        <v>269</v>
      </c>
      <c r="N12" s="83"/>
      <c r="O12" s="86" t="n">
        <v>1</v>
      </c>
      <c r="P12" s="82" t="s">
        <v>70</v>
      </c>
      <c r="Q12" s="82"/>
      <c r="R12" s="123" t="n">
        <v>0</v>
      </c>
      <c r="S12" s="82" t="s">
        <v>167</v>
      </c>
      <c r="T12" s="82"/>
      <c r="U12" s="86" t="n">
        <v>0</v>
      </c>
      <c r="V12" s="82" t="s">
        <v>270</v>
      </c>
      <c r="W12" s="82"/>
      <c r="X12" s="124" t="n">
        <v>0</v>
      </c>
      <c r="Y12" s="1"/>
      <c r="Z12" s="58"/>
      <c r="AA12" s="58"/>
      <c r="AB12" s="61" t="s">
        <v>218</v>
      </c>
      <c r="AC12" s="61"/>
      <c r="AD12" s="62"/>
      <c r="AE12" s="27" t="n">
        <f aca="false">SUM(C7:H7)</f>
        <v>5487</v>
      </c>
      <c r="AF12" s="58"/>
      <c r="AG12" s="58"/>
      <c r="AH12" s="58"/>
      <c r="AI12" s="58"/>
      <c r="AJ12" s="58"/>
      <c r="AK12" s="58"/>
      <c r="AL12" s="58"/>
      <c r="AM12" s="58"/>
      <c r="AN12" s="58"/>
      <c r="AO12" s="58"/>
      <c r="AP12" s="58"/>
      <c r="AQ12" s="58"/>
    </row>
    <row r="13" customFormat="false" ht="14.4" hidden="false" customHeight="false" outlineLevel="0" collapsed="false">
      <c r="A13" s="1"/>
      <c r="B13" s="20" t="s">
        <v>101</v>
      </c>
      <c r="C13" s="72" t="n">
        <f aca="true">IFERROR(INDEX(INDIRECT(C3&amp;"Table"),MATCH(C2,INDIRECT(C3&amp;"Table"&amp;"[Name]"),0),COLUMN(INDIRECT(C3&amp;"Table"&amp;"["&amp;B13&amp;"]"))),0)</f>
        <v>84</v>
      </c>
      <c r="D13" s="72" t="n">
        <f aca="true">IFERROR(INDEX(INDIRECT(D3&amp;"Table"),MATCH(D4,INDIRECT(D3&amp;"Table"&amp;"[Name]"),0),COLUMN(INDIRECT(D3&amp;"Table"&amp;"["&amp;B13&amp;"]"))),0)</f>
        <v>0</v>
      </c>
      <c r="E13" s="72" t="n">
        <f aca="true">IFERROR(INDEX(INDIRECT(E3&amp;"Table"),MATCH(E4,INDIRECT(E3&amp;"Table"&amp;"[Name]"),0),COLUMN(INDIRECT(E3&amp;"Table"&amp;"["&amp;B13&amp;"]"))),0)</f>
        <v>0</v>
      </c>
      <c r="F13" s="72" t="n">
        <f aca="true">IFERROR(INDEX(INDIRECT(F3&amp;"Table"),MATCH(F4,INDIRECT(F3&amp;"Table"&amp;"[Name]"),0),COLUMN(INDIRECT(F3&amp;"Table"&amp;"["&amp;B13&amp;"]"))),0)</f>
        <v>0</v>
      </c>
      <c r="G13" s="72" t="n">
        <f aca="true">IFERROR(INDEX(INDIRECT(G3&amp;"Table"),MATCH(G4,INDIRECT(G3&amp;"Table"&amp;"[Name]"),0),COLUMN(INDIRECT(G3&amp;"Table"&amp;"["&amp;B13&amp;"]"))),0)</f>
        <v>0</v>
      </c>
      <c r="H13" s="72" t="n">
        <f aca="true">IFERROR(INDEX(INDIRECT(H3&amp;"Table"),MATCH(H4,INDIRECT(H3&amp;"Table"&amp;"[Name]"),0),COLUMN(INDIRECT(H3&amp;"Table"&amp;"["&amp;B13&amp;"]"))),0)</f>
        <v>10</v>
      </c>
      <c r="I13" s="1"/>
      <c r="J13" s="17" t="s">
        <v>271</v>
      </c>
      <c r="K13" s="14"/>
      <c r="L13" s="81" t="n">
        <v>0</v>
      </c>
      <c r="M13" s="82" t="s">
        <v>272</v>
      </c>
      <c r="N13" s="83"/>
      <c r="O13" s="86" t="n">
        <v>1</v>
      </c>
      <c r="P13" s="82" t="s">
        <v>64</v>
      </c>
      <c r="Q13" s="82"/>
      <c r="R13" s="123" t="n">
        <v>0</v>
      </c>
      <c r="S13" s="82" t="s">
        <v>191</v>
      </c>
      <c r="T13" s="82"/>
      <c r="U13" s="86" t="n">
        <v>0</v>
      </c>
      <c r="V13" s="64"/>
      <c r="W13" s="64"/>
      <c r="X13" s="88"/>
      <c r="Y13" s="1"/>
      <c r="Z13" s="58"/>
      <c r="AA13" s="58"/>
      <c r="AB13" s="61" t="s">
        <v>219</v>
      </c>
      <c r="AC13" s="61"/>
      <c r="AD13" s="62"/>
      <c r="AE13" s="27" t="n">
        <f aca="false">AE12/(AE18*(1-R19))</f>
        <v>54870</v>
      </c>
      <c r="AF13" s="58"/>
      <c r="AG13" s="58"/>
      <c r="AH13" s="58"/>
      <c r="AI13" s="58"/>
      <c r="AJ13" s="58"/>
      <c r="AK13" s="58"/>
      <c r="AL13" s="58"/>
      <c r="AM13" s="58"/>
      <c r="AN13" s="58"/>
      <c r="AO13" s="58"/>
      <c r="AP13" s="58"/>
      <c r="AQ13" s="58"/>
    </row>
    <row r="14" customFormat="false" ht="14.4" hidden="false" customHeight="false" outlineLevel="0" collapsed="false">
      <c r="A14" s="1"/>
      <c r="B14" s="20" t="s">
        <v>184</v>
      </c>
      <c r="C14" s="72" t="n">
        <v>0</v>
      </c>
      <c r="D14" s="72" t="n">
        <v>0</v>
      </c>
      <c r="E14" s="72" t="n">
        <v>0</v>
      </c>
      <c r="F14" s="72" t="n">
        <f aca="true">IFERROR(INDEX(INDIRECT(F3&amp;"Table"),MATCH(F4,INDIRECT(F3&amp;"Table"&amp;"[Name]"),0),COLUMN(INDIRECT(F3&amp;"Table"&amp;"["&amp;B14&amp;"]"))),0)</f>
        <v>10.2</v>
      </c>
      <c r="G14" s="72" t="n">
        <f aca="true">IFERROR(INDEX(INDIRECT(G3&amp;"Table"),MATCH(G4,INDIRECT(G3&amp;"Table"&amp;"[Name]"),0),COLUMN(INDIRECT(G3&amp;"Table"&amp;"["&amp;B14&amp;"]"))),0)</f>
        <v>10.31</v>
      </c>
      <c r="H14" s="72" t="n">
        <f aca="true">IFERROR(INDEX(INDIRECT(H3&amp;"Table"),MATCH(H4,INDIRECT(H3&amp;"Table"&amp;"[Name]"),0),COLUMN(INDIRECT(H3&amp;"Table"&amp;"["&amp;B14&amp;"]"))),0)</f>
        <v>0.8</v>
      </c>
      <c r="I14" s="1"/>
      <c r="J14" s="17" t="s">
        <v>273</v>
      </c>
      <c r="K14" s="14"/>
      <c r="L14" s="81" t="n">
        <v>0</v>
      </c>
      <c r="M14" s="82" t="s">
        <v>170</v>
      </c>
      <c r="N14" s="83"/>
      <c r="O14" s="86" t="n">
        <v>1</v>
      </c>
      <c r="P14" s="82" t="s">
        <v>185</v>
      </c>
      <c r="Q14" s="82"/>
      <c r="R14" s="123" t="n">
        <v>0</v>
      </c>
      <c r="S14" s="82" t="s">
        <v>274</v>
      </c>
      <c r="T14" s="82"/>
      <c r="U14" s="86" t="n">
        <v>0</v>
      </c>
      <c r="V14" s="82" t="s">
        <v>275</v>
      </c>
      <c r="W14" s="82"/>
      <c r="X14" s="124" t="n">
        <v>0</v>
      </c>
      <c r="Y14" s="1"/>
      <c r="Z14" s="58"/>
      <c r="AA14" s="58"/>
      <c r="AB14" s="91" t="s">
        <v>220</v>
      </c>
      <c r="AC14" s="61"/>
      <c r="AD14" s="62"/>
      <c r="AE14" s="44" t="n">
        <f aca="false">0.1+(SUM(C13:H13)*O14/(SUM(C13:H13)*O14+2+R14))+((SUM(C12:H12)-R12)/1000)</f>
        <v>1.15716666666667</v>
      </c>
      <c r="AF14" s="58"/>
      <c r="AG14" s="58"/>
      <c r="AH14" s="58"/>
      <c r="AI14" s="58"/>
      <c r="AJ14" s="58"/>
      <c r="AK14" s="58"/>
      <c r="AL14" s="58"/>
      <c r="AM14" s="58"/>
      <c r="AN14" s="58"/>
      <c r="AO14" s="58"/>
      <c r="AP14" s="58"/>
      <c r="AQ14" s="58"/>
    </row>
    <row r="15" customFormat="false" ht="14.4" hidden="false" customHeight="false" outlineLevel="0" collapsed="false">
      <c r="A15" s="1"/>
      <c r="B15" s="20" t="s">
        <v>98</v>
      </c>
      <c r="C15" s="72" t="n">
        <f aca="true">IFERROR(INDEX(INDIRECT(C3&amp;"Table"),MATCH(C2,INDIRECT(C3&amp;"Table"&amp;"[Name]"),0),COLUMN(INDIRECT(C3&amp;"Table"&amp;"["&amp;B15&amp;"]"))),0)</f>
        <v>0</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0</v>
      </c>
      <c r="I15" s="1"/>
      <c r="J15" s="17" t="s">
        <v>276</v>
      </c>
      <c r="K15" s="14"/>
      <c r="L15" s="125" t="n">
        <f aca="false">SQRT(200/(100+SUM(C10:H10)*(1+L13)))*2.2*(((F6*F14)+(G6*G14)+(H6*H14))/(SUM(C6:H6)))*(1-L14)*(1-H16)+L12</f>
        <v>19.1335669213863</v>
      </c>
      <c r="M15" s="82" t="s">
        <v>277</v>
      </c>
      <c r="N15" s="83"/>
      <c r="O15" s="86" t="n">
        <v>0</v>
      </c>
      <c r="P15" s="82" t="s">
        <v>278</v>
      </c>
      <c r="Q15" s="82"/>
      <c r="R15" s="86" t="n">
        <v>0</v>
      </c>
      <c r="S15" s="64"/>
      <c r="T15" s="64"/>
      <c r="U15" s="86"/>
      <c r="V15" s="64"/>
      <c r="W15" s="64"/>
      <c r="X15" s="88"/>
      <c r="Y15" s="1"/>
      <c r="Z15" s="58"/>
      <c r="AA15" s="58"/>
      <c r="AB15" s="91" t="s">
        <v>221</v>
      </c>
      <c r="AC15" s="61"/>
      <c r="AD15" s="62"/>
      <c r="AE15" s="44" t="n">
        <f aca="false">IF(AE14&lt;=0.1, 0.1, IF(AE14&gt;=1, 1, AE14))</f>
        <v>1</v>
      </c>
      <c r="AF15" s="58"/>
      <c r="AG15" s="58"/>
      <c r="AH15" s="58"/>
      <c r="AI15" s="58"/>
      <c r="AJ15" s="58"/>
      <c r="AK15" s="58"/>
      <c r="AL15" s="58"/>
      <c r="AM15" s="58"/>
      <c r="AN15" s="58"/>
      <c r="AO15" s="58"/>
      <c r="AP15" s="58"/>
      <c r="AQ15" s="58"/>
    </row>
    <row r="16" customFormat="false" ht="14.4" hidden="false" customHeight="false" outlineLevel="0" collapsed="false">
      <c r="A16" s="1"/>
      <c r="B16" s="1"/>
      <c r="C16" s="1"/>
      <c r="D16" s="1"/>
      <c r="E16" s="1"/>
      <c r="F16" s="92" t="s">
        <v>200</v>
      </c>
      <c r="G16" s="92"/>
      <c r="H16" s="90" t="n">
        <f aca="false">IF(OR(D4="Homing Beacon",E4="Homing Beacon"),0.04,0)</f>
        <v>0</v>
      </c>
      <c r="I16" s="1"/>
      <c r="J16" s="17" t="s">
        <v>279</v>
      </c>
      <c r="K16" s="14"/>
      <c r="L16" s="81" t="n">
        <v>0</v>
      </c>
      <c r="M16" s="82" t="s">
        <v>280</v>
      </c>
      <c r="N16" s="83"/>
      <c r="O16" s="86" t="n">
        <v>0</v>
      </c>
      <c r="P16" s="64"/>
      <c r="Q16" s="64"/>
      <c r="R16" s="86"/>
      <c r="S16" s="82" t="s">
        <v>88</v>
      </c>
      <c r="T16" s="82"/>
      <c r="U16" s="84" t="n">
        <v>120</v>
      </c>
      <c r="V16" s="64"/>
      <c r="W16" s="64"/>
      <c r="X16" s="88"/>
      <c r="Y16" s="1"/>
      <c r="Z16" s="58"/>
      <c r="AA16" s="58"/>
      <c r="AB16" s="61"/>
      <c r="AC16" s="61"/>
      <c r="AD16" s="62"/>
      <c r="AE16" s="27"/>
      <c r="AF16" s="58"/>
      <c r="AG16" s="58"/>
      <c r="AH16" s="58"/>
      <c r="AI16" s="58"/>
      <c r="AJ16" s="58"/>
      <c r="AK16" s="58"/>
      <c r="AL16" s="58"/>
      <c r="AM16" s="58"/>
      <c r="AN16" s="58"/>
      <c r="AO16" s="58"/>
      <c r="AP16" s="58"/>
      <c r="AQ16" s="58"/>
    </row>
    <row r="17" customFormat="false" ht="14.4" hidden="false" customHeight="false" outlineLevel="0" collapsed="false">
      <c r="A17" s="1"/>
      <c r="B17" s="1"/>
      <c r="C17" s="1"/>
      <c r="D17" s="1"/>
      <c r="E17" s="1"/>
      <c r="F17" s="1"/>
      <c r="G17" s="1"/>
      <c r="H17" s="1"/>
      <c r="I17" s="1"/>
      <c r="J17" s="17" t="s">
        <v>281</v>
      </c>
      <c r="K17" s="14"/>
      <c r="L17" s="89" t="n">
        <v>0.5</v>
      </c>
      <c r="M17" s="64"/>
      <c r="N17" s="64"/>
      <c r="O17" s="88"/>
      <c r="P17" s="82" t="s">
        <v>63</v>
      </c>
      <c r="Q17" s="82"/>
      <c r="R17" s="86" t="n">
        <v>0</v>
      </c>
      <c r="S17" s="82" t="s">
        <v>282</v>
      </c>
      <c r="T17" s="82"/>
      <c r="U17" s="126" t="s">
        <v>217</v>
      </c>
      <c r="V17" s="64"/>
      <c r="W17" s="64"/>
      <c r="X17" s="88"/>
      <c r="Y17" s="1"/>
      <c r="Z17" s="58"/>
      <c r="AA17" s="58"/>
      <c r="AB17" s="61" t="s">
        <v>222</v>
      </c>
      <c r="AC17" s="61"/>
      <c r="AD17" s="62"/>
      <c r="AE17" s="127" t="n">
        <f aca="false">0.1+(R13/(R13+2+R18*SUM(C11:H11)))+((R12-SUM(C12:H12))/1000)-R17</f>
        <v>0.022</v>
      </c>
      <c r="AF17" s="58"/>
      <c r="AG17" s="58"/>
      <c r="AH17" s="58"/>
      <c r="AI17" s="58"/>
      <c r="AJ17" s="58"/>
      <c r="AK17" s="58"/>
      <c r="AL17" s="58"/>
      <c r="AM17" s="58"/>
      <c r="AN17" s="58"/>
      <c r="AO17" s="58"/>
      <c r="AP17" s="58"/>
      <c r="AQ17" s="58"/>
    </row>
    <row r="18" customFormat="false" ht="14.4" hidden="false" customHeight="false" outlineLevel="0" collapsed="false">
      <c r="A18" s="1"/>
      <c r="B18" s="1"/>
      <c r="C18" s="1"/>
      <c r="D18" s="1"/>
      <c r="E18" s="1"/>
      <c r="F18" s="1"/>
      <c r="G18" s="1"/>
      <c r="H18" s="1"/>
      <c r="I18" s="1"/>
      <c r="J18" s="103"/>
      <c r="K18" s="103"/>
      <c r="L18" s="86"/>
      <c r="M18" s="82" t="s">
        <v>282</v>
      </c>
      <c r="N18" s="83"/>
      <c r="O18" s="128" t="n">
        <v>1</v>
      </c>
      <c r="P18" s="82" t="s">
        <v>69</v>
      </c>
      <c r="Q18" s="82"/>
      <c r="R18" s="86" t="n">
        <v>1</v>
      </c>
      <c r="S18" s="82" t="s">
        <v>283</v>
      </c>
      <c r="T18" s="82"/>
      <c r="U18" s="84"/>
      <c r="V18" s="64"/>
      <c r="W18" s="64"/>
      <c r="X18" s="88"/>
      <c r="Y18" s="1"/>
      <c r="Z18" s="58"/>
      <c r="AA18" s="58"/>
      <c r="AB18" s="61" t="s">
        <v>223</v>
      </c>
      <c r="AC18" s="61"/>
      <c r="AD18" s="62"/>
      <c r="AE18" s="44" t="n">
        <f aca="false">IF(AE17&lt;=0.1, 0.1, IF(AE17&gt;=0.9, 0.9, AE17))</f>
        <v>0.1</v>
      </c>
      <c r="AF18" s="58"/>
      <c r="AG18" s="58"/>
      <c r="AH18" s="58"/>
      <c r="AI18" s="58"/>
      <c r="AJ18" s="58"/>
      <c r="AK18" s="58"/>
      <c r="AL18" s="58"/>
      <c r="AM18" s="58"/>
      <c r="AN18" s="58"/>
      <c r="AO18" s="58"/>
      <c r="AP18" s="58"/>
      <c r="AQ18" s="58"/>
    </row>
    <row r="19" customFormat="false" ht="14.4" hidden="false" customHeight="false" outlineLevel="0" collapsed="false">
      <c r="A19" s="1"/>
      <c r="B19" s="1"/>
      <c r="C19" s="1"/>
      <c r="D19" s="1"/>
      <c r="E19" s="1"/>
      <c r="F19" s="1"/>
      <c r="G19" s="1"/>
      <c r="H19" s="1"/>
      <c r="I19" s="1"/>
      <c r="J19" s="82" t="s">
        <v>284</v>
      </c>
      <c r="K19" s="30" t="n">
        <v>0.6</v>
      </c>
      <c r="L19" s="86"/>
      <c r="M19" s="82" t="s">
        <v>285</v>
      </c>
      <c r="N19" s="83"/>
      <c r="O19" s="128" t="n">
        <v>1</v>
      </c>
      <c r="P19" s="82" t="s">
        <v>201</v>
      </c>
      <c r="Q19" s="82"/>
      <c r="R19" s="86" t="n">
        <v>0</v>
      </c>
      <c r="S19" s="64"/>
      <c r="T19" s="64"/>
      <c r="U19" s="88"/>
      <c r="V19" s="64"/>
      <c r="W19" s="64"/>
      <c r="X19" s="88"/>
      <c r="Y19" s="1"/>
      <c r="Z19" s="58"/>
      <c r="AA19" s="58"/>
      <c r="AB19" s="91"/>
      <c r="AC19" s="61"/>
      <c r="AD19" s="62"/>
      <c r="AE19" s="27"/>
      <c r="AF19" s="58"/>
      <c r="AG19" s="58"/>
      <c r="AH19" s="58"/>
      <c r="AI19" s="58"/>
      <c r="AJ19" s="58"/>
      <c r="AK19" s="58"/>
      <c r="AL19" s="58"/>
      <c r="AM19" s="58"/>
      <c r="AN19" s="58"/>
      <c r="AO19" s="58"/>
      <c r="AP19" s="58"/>
      <c r="AQ19" s="58"/>
    </row>
    <row r="20" customFormat="false" ht="14.4" hidden="false" customHeight="false" outlineLevel="0" collapsed="false">
      <c r="A20" s="1"/>
      <c r="B20" s="1"/>
      <c r="C20" s="1"/>
      <c r="D20" s="1"/>
      <c r="E20" s="1"/>
      <c r="F20" s="1"/>
      <c r="G20" s="1"/>
      <c r="H20" s="1"/>
      <c r="I20" s="1"/>
      <c r="J20" s="82" t="s">
        <v>78</v>
      </c>
      <c r="K20" s="30" t="n">
        <v>0</v>
      </c>
      <c r="L20" s="86"/>
      <c r="M20" s="64"/>
      <c r="N20" s="64"/>
      <c r="O20" s="88"/>
      <c r="P20" s="64"/>
      <c r="Q20" s="64"/>
      <c r="R20" s="88"/>
      <c r="S20" s="64"/>
      <c r="T20" s="64"/>
      <c r="U20" s="88"/>
      <c r="V20" s="64"/>
      <c r="W20" s="64"/>
      <c r="X20" s="88"/>
      <c r="Y20" s="1"/>
      <c r="Z20" s="58"/>
      <c r="AA20" s="58"/>
      <c r="AB20" s="91" t="s">
        <v>178</v>
      </c>
      <c r="AC20" s="61"/>
      <c r="AD20" s="62"/>
      <c r="AE20" s="44" t="n">
        <f aca="false">1+(0.05+(SUM(C13:H13)*O14/(SUM(C13:H13)*O14+2000))+(SUM(C12:H12)/5000)+L16)*L17</f>
        <v>1.05524508118434</v>
      </c>
      <c r="AF20" s="58"/>
      <c r="AG20" s="58"/>
      <c r="AH20" s="58"/>
      <c r="AI20" s="58"/>
      <c r="AJ20" s="58"/>
      <c r="AK20" s="58"/>
      <c r="AL20" s="58"/>
      <c r="AM20" s="58"/>
      <c r="AN20" s="58"/>
      <c r="AO20" s="58"/>
      <c r="AP20" s="58"/>
      <c r="AQ20" s="58"/>
    </row>
    <row r="21" customFormat="false" ht="14.4"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58"/>
      <c r="AB21" s="58"/>
      <c r="AC21" s="58"/>
      <c r="AD21" s="58"/>
      <c r="AE21" s="58"/>
      <c r="AF21" s="58"/>
      <c r="AG21" s="58"/>
      <c r="AH21" s="58"/>
      <c r="AI21" s="58"/>
      <c r="AJ21" s="58"/>
      <c r="AK21" s="58"/>
      <c r="AL21" s="58"/>
      <c r="AM21" s="58"/>
      <c r="AN21" s="58"/>
      <c r="AO21" s="58"/>
      <c r="AP21" s="58"/>
      <c r="AQ21" s="58"/>
    </row>
    <row r="22" customFormat="false" ht="14.4" hidden="false" customHeight="false" outlineLevel="0" collapsed="false">
      <c r="A22" s="1"/>
      <c r="B22" s="57" t="s">
        <v>206</v>
      </c>
      <c r="C22" s="57"/>
      <c r="D22" s="57" t="s">
        <v>207</v>
      </c>
      <c r="E22" s="57" t="s">
        <v>208</v>
      </c>
      <c r="F22" s="57" t="s">
        <v>209</v>
      </c>
      <c r="G22" s="57" t="s">
        <v>138</v>
      </c>
      <c r="H22" s="57" t="s">
        <v>140</v>
      </c>
      <c r="I22" s="57" t="s">
        <v>142</v>
      </c>
      <c r="J22" s="129" t="s">
        <v>78</v>
      </c>
      <c r="K22" s="57" t="s">
        <v>286</v>
      </c>
      <c r="L22" s="129" t="s">
        <v>280</v>
      </c>
      <c r="M22" s="130" t="s">
        <v>287</v>
      </c>
      <c r="N22" s="57" t="s">
        <v>211</v>
      </c>
      <c r="O22" s="57" t="s">
        <v>210</v>
      </c>
      <c r="P22" s="100" t="s">
        <v>214</v>
      </c>
      <c r="Q22" s="99" t="s">
        <v>215</v>
      </c>
      <c r="R22" s="99" t="s">
        <v>288</v>
      </c>
      <c r="S22" s="98" t="s">
        <v>289</v>
      </c>
      <c r="T22" s="98"/>
      <c r="U22" s="1"/>
      <c r="V22" s="63" t="s">
        <v>157</v>
      </c>
      <c r="W22" s="63" t="s">
        <v>244</v>
      </c>
      <c r="X22" s="63"/>
      <c r="Y22" s="63" t="s">
        <v>245</v>
      </c>
      <c r="Z22" s="63"/>
      <c r="AA22" s="63" t="s">
        <v>246</v>
      </c>
      <c r="AB22" s="11"/>
      <c r="AC22" s="11"/>
      <c r="AD22" s="63"/>
      <c r="AE22" s="63"/>
      <c r="AF22" s="63"/>
      <c r="AG22" s="63"/>
      <c r="AH22" s="63"/>
      <c r="AI22" s="11"/>
      <c r="AJ22" s="11"/>
      <c r="AK22" s="11"/>
      <c r="AL22" s="11"/>
      <c r="AM22" s="58"/>
      <c r="AN22" s="58"/>
      <c r="AO22" s="58"/>
      <c r="AP22" s="58"/>
      <c r="AQ22" s="58"/>
    </row>
    <row r="23" customFormat="false" ht="14.4" hidden="false" customHeight="false" outlineLevel="0" collapsed="false">
      <c r="A23" s="1"/>
      <c r="B23" s="72" t="str">
        <f aca="true">IFERROR(INDEX(INDIRECT(C3&amp;"Table"),MATCH(C2,INDIRECT(C3&amp;"Table"&amp;"[Name]"),0),COLUMN(INDIRECT(C3&amp;"Table"&amp;"[Barg1]"))),0)</f>
        <v>N/A</v>
      </c>
      <c r="C23" s="72"/>
      <c r="D23" s="72" t="n">
        <f aca="false">IFERROR(INDEX(Barrage[],MATCH(B23,Barrage[Name],0),COLUMN(Barrage[Total Damage])),0)</f>
        <v>0</v>
      </c>
      <c r="E23" s="72" t="n">
        <f aca="false">IFERROR(INDEX(Barrage[],MATCH(B23,Barrage[Name],0),COLUMN(Barrage[Base Damage])),0)</f>
        <v>0</v>
      </c>
      <c r="F23" s="72" t="n">
        <f aca="false">IFERROR(INDEX(Barrage[],MATCH(B23,Barrage[Name],0),COLUMN(Barrage[Total Rounds])),0)</f>
        <v>0</v>
      </c>
      <c r="G23" s="72" t="n">
        <f aca="false">IFERROR(INDEX(Barrage[],MATCH(B23,Barrage[Name],0),COLUMN(Barrage[Light Armor])),0)</f>
        <v>0</v>
      </c>
      <c r="H23" s="72" t="n">
        <f aca="false">IFERROR(INDEX(Barrage[],MATCH(B23,Barrage[Name],0),COLUMN(Barrage[Medium Armor])),0)</f>
        <v>0</v>
      </c>
      <c r="I23" s="72" t="n">
        <f aca="false">IFERROR(INDEX(Barrage[],MATCH(B23,Barrage[Name],0),COLUMN(Barrage[Heavy Armor])),0)</f>
        <v>0</v>
      </c>
      <c r="J23" s="90" t="n">
        <f aca="false">IFERROR(INDEX(Barrage[],MATCH(B23,Barrage[Name],0),COLUMN(Barrage[Burn %])),0)</f>
        <v>0</v>
      </c>
      <c r="K23" s="72" t="n">
        <f aca="false">IFERROR(INDEX(Barrage[],MATCH(B23,Barrage[Name],0),COLUMN(Barrage[Burn Coeff])),0)</f>
        <v>0</v>
      </c>
      <c r="L23" s="90" t="n">
        <f aca="false">IFERROR(INDEX(Barrage[],MATCH(B23,Barrage[Name],0),COLUMN(Barrage[Flood %])),0)</f>
        <v>0</v>
      </c>
      <c r="M23" s="79" t="n">
        <f aca="false">IFERROR(INDEX(Barrage[],MATCH(B23,Barrage[Name],0),COLUMN(Barrage[Flood Coeff])),0)</f>
        <v>0</v>
      </c>
      <c r="N23" s="72" t="n">
        <f aca="false">IFERROR(INDEX(Barrage[],MATCH(B23,Barrage[Name],0),COLUMN(Barrage[Stat Mod])),0)</f>
        <v>0</v>
      </c>
      <c r="O23" s="72" t="n">
        <f aca="false">IFERROR(INDEX(Barrage[],MATCH(B23,Barrage[Name],0),COLUMN(Barrage[Type2])),0)</f>
        <v>0</v>
      </c>
      <c r="P23" s="103" t="n">
        <v>1</v>
      </c>
      <c r="Q23" s="104" t="n">
        <v>0</v>
      </c>
      <c r="R23" s="103" t="n">
        <v>1</v>
      </c>
      <c r="S23" s="101" t="n">
        <v>0</v>
      </c>
      <c r="T23" s="101"/>
      <c r="U23" s="1"/>
      <c r="V23" s="63" t="s">
        <v>138</v>
      </c>
      <c r="W23" s="27" t="n">
        <f aca="false">((100+AC3*IF(F5="T",O12,0.8*O12))/100)*AC7*AE20*O13*F6*(F9+U12)*IF(OR(F5="F",F5="B"),O18,O19)*(1-R15)</f>
        <v>14452.6906604488</v>
      </c>
      <c r="X23" s="27"/>
      <c r="Y23" s="27" t="n">
        <f aca="false">((100+AC3*IF(G5="T",O12,0.8*O12))/100)*AD7*$AE$20*$O$13*($G$6+$X$14)*($G$9+U13)*IF(OR(G5="F",G5="B"),O18,O19)*(1-R15)</f>
        <v>19826.8833313155</v>
      </c>
      <c r="Z23" s="27"/>
      <c r="AA23" s="27" t="n">
        <f aca="false">((100+AC3*IF(H5="T",O12,0.8*O12))/100)*AE7*$AE$20*$O$13*$H$6*($H$9+U14)*IF(OR(H5="F",H5="B"),O18,O19)*(1-R15)</f>
        <v>0</v>
      </c>
      <c r="AB23" s="11"/>
      <c r="AC23" s="11"/>
      <c r="AD23" s="27"/>
      <c r="AE23" s="27"/>
      <c r="AF23" s="27"/>
      <c r="AG23" s="27"/>
      <c r="AH23" s="27"/>
      <c r="AI23" s="11"/>
      <c r="AJ23" s="11"/>
      <c r="AK23" s="11"/>
      <c r="AL23" s="11"/>
      <c r="AM23" s="58"/>
      <c r="AN23" s="58"/>
      <c r="AO23" s="58"/>
      <c r="AP23" s="58"/>
      <c r="AQ23" s="58"/>
    </row>
    <row r="24" customFormat="false" ht="14.4" hidden="false" customHeight="false" outlineLevel="0" collapsed="false">
      <c r="A24" s="1"/>
      <c r="B24" s="72" t="str">
        <f aca="true">IFERROR(INDEX(INDIRECT(C3&amp;"Table"),MATCH(C2,INDIRECT(C3&amp;"Table"&amp;"[Name]"),0),COLUMN(INDIRECT(C3&amp;"Table"&amp;"[Barg2]"))),0)</f>
        <v>N/A</v>
      </c>
      <c r="C24" s="72"/>
      <c r="D24" s="72" t="n">
        <f aca="false">IFERROR(INDEX(Barrage[],MATCH(B24,Barrage[Name],0),COLUMN(Barrage[Total Damage])),0)</f>
        <v>0</v>
      </c>
      <c r="E24" s="72" t="n">
        <f aca="false">IFERROR(INDEX(Barrage[],MATCH(B24,Barrage[Name],0),COLUMN(Barrage[Base Damage])),0)</f>
        <v>0</v>
      </c>
      <c r="F24" s="72" t="n">
        <f aca="false">IFERROR(INDEX(Barrage[],MATCH(B24,Barrage[Name],0),COLUMN(Barrage[Total Rounds])),0)</f>
        <v>0</v>
      </c>
      <c r="G24" s="72" t="n">
        <f aca="false">IFERROR(INDEX(Barrage[],MATCH(B24,Barrage[Name],0),COLUMN(Barrage[Light Armor])),0)</f>
        <v>0</v>
      </c>
      <c r="H24" s="72" t="n">
        <f aca="false">IFERROR(INDEX(Barrage[],MATCH(B24,Barrage[Name],0),COLUMN(Barrage[Medium Armor])),0)</f>
        <v>0</v>
      </c>
      <c r="I24" s="72" t="n">
        <f aca="false">IFERROR(INDEX(Barrage[],MATCH(B24,Barrage[Name],0),COLUMN(Barrage[Heavy Armor])),0)</f>
        <v>0</v>
      </c>
      <c r="J24" s="90" t="n">
        <f aca="false">IFERROR(INDEX(Barrage[],MATCH(B24,Barrage[Name],0),COLUMN(Barrage[Burn %])),0)</f>
        <v>0</v>
      </c>
      <c r="K24" s="72" t="n">
        <f aca="false">IFERROR(INDEX(Barrage[],MATCH(B24,Barrage[Name],0),COLUMN(Barrage[Burn Coeff])),0)</f>
        <v>0</v>
      </c>
      <c r="L24" s="90" t="n">
        <f aca="false">IFERROR(INDEX(Barrage[],MATCH(B24,Barrage[Name],0),COLUMN(Barrage[Flood %])),0)</f>
        <v>0</v>
      </c>
      <c r="M24" s="79" t="n">
        <f aca="false">IFERROR(INDEX(Barrage[],MATCH(B24,Barrage[Name],0),COLUMN(Barrage[Flood Coeff])),0)</f>
        <v>0</v>
      </c>
      <c r="N24" s="72" t="n">
        <f aca="false">IFERROR(INDEX(Barrage[],MATCH(B24,Barrage[Name],0),COLUMN(Barrage[Stat Mod])),0)</f>
        <v>0</v>
      </c>
      <c r="O24" s="72" t="n">
        <f aca="false">IFERROR(INDEX(Barrage[],MATCH(B24,Barrage[Name],0),COLUMN(Barrage[Type2])),0)</f>
        <v>0</v>
      </c>
      <c r="P24" s="103" t="n">
        <v>1</v>
      </c>
      <c r="Q24" s="104" t="n">
        <v>0</v>
      </c>
      <c r="R24" s="103" t="n">
        <v>1</v>
      </c>
      <c r="S24" s="101" t="n">
        <v>0</v>
      </c>
      <c r="T24" s="101"/>
      <c r="U24" s="1"/>
      <c r="V24" s="63" t="s">
        <v>140</v>
      </c>
      <c r="W24" s="27" t="n">
        <f aca="false">((100+AC3*IF(F5="T",O12,0.8*O12))/100)*AC8*AE20*O13*F6*(F9+U12)*IF(OR(F5="F",F5="B"),O18,O19)*(1-R15)</f>
        <v>16259.2769930049</v>
      </c>
      <c r="X24" s="27"/>
      <c r="Y24" s="27" t="n">
        <f aca="false">((100+AC3*IF(G5="T",O12,0.8*O12))/100)*AD8*$AE$20*$O$13*($G$6+$X$14)*($G$9+U13)*IF(OR(G5="F",G5="B"),O18,O19)*(1-R15)</f>
        <v>27261.9645805589</v>
      </c>
      <c r="Z24" s="27"/>
      <c r="AA24" s="27" t="n">
        <f aca="false">((100+AC3*IF(H5="T",O12,0.8*O12))/100)*AE8*$AE$20*$O$13*$H$6*($H$9+U14)*IF(OR(H5="F",H5="B"),O18,O19)*(1-R15)</f>
        <v>0</v>
      </c>
      <c r="AB24" s="11"/>
      <c r="AC24" s="11"/>
      <c r="AD24" s="27"/>
      <c r="AE24" s="27"/>
      <c r="AF24" s="27"/>
      <c r="AG24" s="27"/>
      <c r="AH24" s="27"/>
      <c r="AI24" s="11"/>
      <c r="AJ24" s="11"/>
      <c r="AK24" s="11"/>
      <c r="AL24" s="11"/>
      <c r="AM24" s="58"/>
      <c r="AN24" s="58"/>
      <c r="AO24" s="58"/>
      <c r="AP24" s="58"/>
      <c r="AQ24" s="58"/>
    </row>
    <row r="25" customFormat="false" ht="14.4" hidden="false" customHeight="false" outlineLevel="0" collapsed="false">
      <c r="A25" s="1"/>
      <c r="B25" s="72" t="str">
        <f aca="true">IFERROR(INDEX(INDIRECT(C3&amp;"Table"),MATCH(C2,INDIRECT(C3&amp;"Table"&amp;"[Name]"),0),COLUMN(INDIRECT(C3&amp;"Table"&amp;"[Barg3]"))),0)</f>
        <v>N/A</v>
      </c>
      <c r="C25" s="72"/>
      <c r="D25" s="72" t="n">
        <f aca="false">IFERROR(INDEX(Barrage[],MATCH(B25,Barrage[Name],0),COLUMN(Barrage[Total Damage])),0)</f>
        <v>0</v>
      </c>
      <c r="E25" s="72" t="n">
        <f aca="false">IFERROR(INDEX(Barrage[],MATCH(B25,Barrage[Name],0),COLUMN(Barrage[Base Damage])),0)</f>
        <v>0</v>
      </c>
      <c r="F25" s="72" t="n">
        <f aca="false">IFERROR(INDEX(Barrage[],MATCH(B25,Barrage[Name],0),COLUMN(Barrage[Total Rounds])),0)</f>
        <v>0</v>
      </c>
      <c r="G25" s="72" t="n">
        <f aca="false">IFERROR(INDEX(Barrage[],MATCH(B25,Barrage[Name],0),COLUMN(Barrage[Light Armor])),0)</f>
        <v>0</v>
      </c>
      <c r="H25" s="72" t="n">
        <f aca="false">IFERROR(INDEX(Barrage[],MATCH(B25,Barrage[Name],0),COLUMN(Barrage[Medium Armor])),0)</f>
        <v>0</v>
      </c>
      <c r="I25" s="72" t="n">
        <f aca="false">IFERROR(INDEX(Barrage[],MATCH(B25,Barrage[Name],0),COLUMN(Barrage[Heavy Armor])),0)</f>
        <v>0</v>
      </c>
      <c r="J25" s="90" t="n">
        <f aca="false">IFERROR(INDEX(Barrage[],MATCH(B25,Barrage[Name],0),COLUMN(Barrage[Burn %])),0)</f>
        <v>0</v>
      </c>
      <c r="K25" s="72" t="n">
        <f aca="false">IFERROR(INDEX(Barrage[],MATCH(B25,Barrage[Name],0),COLUMN(Barrage[Burn Coeff])),0)</f>
        <v>0</v>
      </c>
      <c r="L25" s="90" t="n">
        <f aca="false">IFERROR(INDEX(Barrage[],MATCH(B25,Barrage[Name],0),COLUMN(Barrage[Flood %])),0)</f>
        <v>0</v>
      </c>
      <c r="M25" s="79" t="n">
        <f aca="false">IFERROR(INDEX(Barrage[],MATCH(B25,Barrage[Name],0),COLUMN(Barrage[Flood Coeff])),0)</f>
        <v>0</v>
      </c>
      <c r="N25" s="72" t="n">
        <f aca="false">IFERROR(INDEX(Barrage[],MATCH(B25,Barrage[Name],0),COLUMN(Barrage[Stat Mod])),0)</f>
        <v>0</v>
      </c>
      <c r="O25" s="72" t="n">
        <f aca="false">IFERROR(INDEX(Barrage[],MATCH(B25,Barrage[Name],0),COLUMN(Barrage[Type2])),0)</f>
        <v>0</v>
      </c>
      <c r="P25" s="103" t="n">
        <v>1</v>
      </c>
      <c r="Q25" s="104" t="n">
        <v>0</v>
      </c>
      <c r="R25" s="103" t="n">
        <v>1</v>
      </c>
      <c r="S25" s="101" t="n">
        <v>0</v>
      </c>
      <c r="T25" s="101"/>
      <c r="U25" s="1"/>
      <c r="V25" s="63" t="s">
        <v>142</v>
      </c>
      <c r="W25" s="27" t="n">
        <f aca="false">((100+AC3*IF(F5="T",O12,0.8*O12))/100)*AC9*AE20*O13*F6*(F9+U12)*IF(OR(F5="F",F5="B"),O18,O19)*(1-R15)</f>
        <v>19872.4496581171</v>
      </c>
      <c r="X25" s="27"/>
      <c r="Y25" s="27" t="n">
        <f aca="false">((100+AC3*IF(G5="T",O12,0.8*O12))/100)*AD9*$AE$20*$O$13*($G$6+$X$14)*($G$9+U13)*IF(OR(G5="F",G5="B"),O18,O19)*(1-R15)</f>
        <v>32218.6854133877</v>
      </c>
      <c r="Z25" s="27"/>
      <c r="AA25" s="27" t="n">
        <f aca="false">((100+AC3*IF(H5="T",O12,0.8*O12))/100)*AE9*$AE$20*$O$13*$H$6*($H$9+U14)*IF(OR(H5="F",H5="B"),O18,O19)*(1-R15)</f>
        <v>0</v>
      </c>
      <c r="AB25" s="11"/>
      <c r="AC25" s="11"/>
      <c r="AD25" s="27"/>
      <c r="AE25" s="27"/>
      <c r="AF25" s="27"/>
      <c r="AG25" s="27"/>
      <c r="AH25" s="27"/>
      <c r="AI25" s="11"/>
      <c r="AJ25" s="11"/>
      <c r="AK25" s="11"/>
      <c r="AL25" s="11"/>
      <c r="AM25" s="58"/>
      <c r="AN25" s="58"/>
      <c r="AO25" s="58"/>
      <c r="AP25" s="58"/>
      <c r="AQ25" s="58"/>
    </row>
    <row r="26" customFormat="false" ht="14.4" hidden="false" customHeight="false" outlineLevel="0" collapsed="false">
      <c r="A26" s="1"/>
      <c r="B26" s="72" t="str">
        <f aca="true">IFERROR(INDEX(INDIRECT(C3&amp;"Table"),MATCH(C2,INDIRECT(C3&amp;"Table"&amp;"[Name]"),0),COLUMN(INDIRECT(C3&amp;"Table"&amp;"[Barg4]"))),0)</f>
        <v>N/A</v>
      </c>
      <c r="C26" s="72"/>
      <c r="D26" s="72" t="n">
        <f aca="false">IFERROR(INDEX(Barrage[],MATCH(B26,Barrage[Name],0),COLUMN(Barrage[Total Damage])),0)</f>
        <v>0</v>
      </c>
      <c r="E26" s="72" t="n">
        <f aca="false">IFERROR(INDEX(Barrage[],MATCH(B26,Barrage[Name],0),COLUMN(Barrage[Base Damage])),0)</f>
        <v>0</v>
      </c>
      <c r="F26" s="72" t="n">
        <f aca="false">IFERROR(INDEX(Barrage[],MATCH(B26,Barrage[Name],0),COLUMN(Barrage[Total Rounds])),0)</f>
        <v>0</v>
      </c>
      <c r="G26" s="72" t="n">
        <f aca="false">IFERROR(INDEX(Barrage[],MATCH(B26,Barrage[Name],0),COLUMN(Barrage[Light Armor])),0)</f>
        <v>0</v>
      </c>
      <c r="H26" s="72" t="n">
        <f aca="false">IFERROR(INDEX(Barrage[],MATCH(B26,Barrage[Name],0),COLUMN(Barrage[Medium Armor])),0)</f>
        <v>0</v>
      </c>
      <c r="I26" s="72" t="n">
        <f aca="false">IFERROR(INDEX(Barrage[],MATCH(B26,Barrage[Name],0),COLUMN(Barrage[Heavy Armor])),0)</f>
        <v>0</v>
      </c>
      <c r="J26" s="90" t="n">
        <f aca="false">IFERROR(INDEX(Barrage[],MATCH(B26,Barrage[Name],0),COLUMN(Barrage[Burn %])),0)</f>
        <v>0</v>
      </c>
      <c r="K26" s="72" t="n">
        <f aca="false">IFERROR(INDEX(Barrage[],MATCH(B26,Barrage[Name],0),COLUMN(Barrage[Burn Coeff])),0)</f>
        <v>0</v>
      </c>
      <c r="L26" s="90" t="n">
        <f aca="false">IFERROR(INDEX(Barrage[],MATCH(B26,Barrage[Name],0),COLUMN(Barrage[Flood %])),0)</f>
        <v>0</v>
      </c>
      <c r="M26" s="79" t="n">
        <f aca="false">IFERROR(INDEX(Barrage[],MATCH(B26,Barrage[Name],0),COLUMN(Barrage[Flood Coeff])),0)</f>
        <v>0</v>
      </c>
      <c r="N26" s="72" t="n">
        <f aca="false">IFERROR(INDEX(Barrage[],MATCH(B26,Barrage[Name],0),COLUMN(Barrage[Stat Mod])),0)</f>
        <v>0</v>
      </c>
      <c r="O26" s="72" t="n">
        <f aca="false">IFERROR(INDEX(Barrage[],MATCH(B26,Barrage[Name],0),COLUMN(Barrage[Type2])),0)</f>
        <v>0</v>
      </c>
      <c r="P26" s="103" t="n">
        <v>1</v>
      </c>
      <c r="Q26" s="104" t="n">
        <v>0</v>
      </c>
      <c r="R26" s="103" t="n">
        <v>1</v>
      </c>
      <c r="S26" s="101" t="n">
        <v>0</v>
      </c>
      <c r="T26" s="101"/>
      <c r="U26" s="1"/>
      <c r="V26" s="63"/>
      <c r="W26" s="11"/>
      <c r="X26" s="11"/>
      <c r="Y26" s="11"/>
      <c r="Z26" s="11"/>
      <c r="AA26" s="11"/>
      <c r="AB26" s="11"/>
      <c r="AC26" s="11"/>
      <c r="AD26" s="11"/>
      <c r="AE26" s="11"/>
      <c r="AF26" s="11"/>
      <c r="AG26" s="11"/>
      <c r="AH26" s="11"/>
      <c r="AI26" s="11"/>
      <c r="AJ26" s="11"/>
      <c r="AK26" s="11"/>
      <c r="AL26" s="11"/>
      <c r="AM26" s="58"/>
      <c r="AN26" s="58"/>
      <c r="AO26" s="58"/>
      <c r="AP26" s="58"/>
      <c r="AQ26" s="58"/>
    </row>
    <row r="27" customFormat="false" ht="14.4" hidden="false" customHeight="false" outlineLevel="0" collapsed="false">
      <c r="A27" s="1"/>
      <c r="B27" s="72" t="str">
        <f aca="true">IFERROR(INDEX(INDIRECT(C3&amp;"Table"),MATCH(C2,INDIRECT(C3&amp;"Table"&amp;"[Name]"),0),COLUMN(INDIRECT(C3&amp;"Table"&amp;"[Barg5]"))),0)</f>
        <v>N/A</v>
      </c>
      <c r="C27" s="72"/>
      <c r="D27" s="72" t="n">
        <f aca="false">IFERROR(INDEX(Barrage[],MATCH(B27,Barrage[Name],0),COLUMN(Barrage[Total Damage])),0)</f>
        <v>0</v>
      </c>
      <c r="E27" s="72" t="n">
        <f aca="false">IFERROR(INDEX(Barrage[],MATCH(B27,Barrage[Name],0),COLUMN(Barrage[Base Damage])),0)</f>
        <v>0</v>
      </c>
      <c r="F27" s="72" t="n">
        <f aca="false">IFERROR(INDEX(Barrage[],MATCH(B27,Barrage[Name],0),COLUMN(Barrage[Total Rounds])),0)</f>
        <v>0</v>
      </c>
      <c r="G27" s="72" t="n">
        <f aca="false">IFERROR(INDEX(Barrage[],MATCH(B27,Barrage[Name],0),COLUMN(Barrage[Light Armor])),0)</f>
        <v>0</v>
      </c>
      <c r="H27" s="72" t="n">
        <f aca="false">IFERROR(INDEX(Barrage[],MATCH(B27,Barrage[Name],0),COLUMN(Barrage[Medium Armor])),0)</f>
        <v>0</v>
      </c>
      <c r="I27" s="72" t="n">
        <f aca="false">IFERROR(INDEX(Barrage[],MATCH(B27,Barrage[Name],0),COLUMN(Barrage[Heavy Armor])),0)</f>
        <v>0</v>
      </c>
      <c r="J27" s="90" t="n">
        <f aca="false">IFERROR(INDEX(Barrage[],MATCH(B27,Barrage[Name],0),COLUMN(Barrage[Burn %])),0)</f>
        <v>0</v>
      </c>
      <c r="K27" s="72" t="n">
        <f aca="false">IFERROR(INDEX(Barrage[],MATCH(B27,Barrage[Name],0),COLUMN(Barrage[Burn Coeff])),0)</f>
        <v>0</v>
      </c>
      <c r="L27" s="90" t="n">
        <f aca="false">IFERROR(INDEX(Barrage[],MATCH(B27,Barrage[Name],0),COLUMN(Barrage[Flood %])),0)</f>
        <v>0</v>
      </c>
      <c r="M27" s="79" t="n">
        <f aca="false">IFERROR(INDEX(Barrage[],MATCH(B27,Barrage[Name],0),COLUMN(Barrage[Flood Coeff])),0)</f>
        <v>0</v>
      </c>
      <c r="N27" s="72" t="n">
        <f aca="false">IFERROR(INDEX(Barrage[],MATCH(B27,Barrage[Name],0),COLUMN(Barrage[Stat Mod])),0)</f>
        <v>0</v>
      </c>
      <c r="O27" s="72" t="n">
        <f aca="false">IFERROR(INDEX(Barrage[],MATCH(B27,Barrage[Name],0),COLUMN(Barrage[Type2])),0)</f>
        <v>0</v>
      </c>
      <c r="P27" s="103" t="n">
        <v>1</v>
      </c>
      <c r="Q27" s="104" t="n">
        <v>0</v>
      </c>
      <c r="R27" s="103" t="n">
        <v>1</v>
      </c>
      <c r="S27" s="101" t="n">
        <v>0</v>
      </c>
      <c r="T27" s="101"/>
      <c r="U27" s="1"/>
      <c r="V27" s="63"/>
      <c r="W27" s="63" t="s">
        <v>290</v>
      </c>
      <c r="X27" s="63"/>
      <c r="Y27" s="63" t="s">
        <v>291</v>
      </c>
      <c r="Z27" s="63"/>
      <c r="AA27" s="63" t="s">
        <v>292</v>
      </c>
      <c r="AB27" s="11"/>
      <c r="AC27" s="11"/>
      <c r="AD27" s="63"/>
      <c r="AE27" s="63"/>
      <c r="AF27" s="63"/>
      <c r="AG27" s="63"/>
      <c r="AH27" s="63"/>
      <c r="AI27" s="11"/>
      <c r="AJ27" s="11"/>
      <c r="AK27" s="11"/>
      <c r="AL27" s="11"/>
      <c r="AM27" s="58"/>
      <c r="AN27" s="58"/>
      <c r="AO27" s="58"/>
      <c r="AP27" s="58"/>
      <c r="AQ27" s="58"/>
    </row>
    <row r="28" customFormat="false" ht="14.4" hidden="false" customHeight="false" outlineLevel="0" collapsed="false">
      <c r="A28" s="1"/>
      <c r="B28" s="72" t="str">
        <f aca="true">IFERROR(INDEX(INDIRECT(C3&amp;"Table"),MATCH(C2,INDIRECT(C3&amp;"Table"&amp;"[Name]"),0),COLUMN(INDIRECT(C3&amp;"Table"&amp;"[Barg6]"))),0)</f>
        <v>N/A</v>
      </c>
      <c r="C28" s="72"/>
      <c r="D28" s="72" t="n">
        <f aca="false">IFERROR(INDEX(Barrage[],MATCH(B28,Barrage[Name],0),COLUMN(Barrage[Total Damage])),0)</f>
        <v>0</v>
      </c>
      <c r="E28" s="72" t="n">
        <f aca="false">IFERROR(INDEX(Barrage[],MATCH(B28,Barrage[Name],0),COLUMN(Barrage[Base Damage])),0)</f>
        <v>0</v>
      </c>
      <c r="F28" s="72" t="n">
        <f aca="false">IFERROR(INDEX(Barrage[],MATCH(B28,Barrage[Name],0),COLUMN(Barrage[Total Rounds])),0)</f>
        <v>0</v>
      </c>
      <c r="G28" s="72" t="n">
        <f aca="false">IFERROR(INDEX(Barrage[],MATCH(B28,Barrage[Name],0),COLUMN(Barrage[Light Armor])),0)</f>
        <v>0</v>
      </c>
      <c r="H28" s="72" t="n">
        <f aca="false">IFERROR(INDEX(Barrage[],MATCH(B28,Barrage[Name],0),COLUMN(Barrage[Medium Armor])),0)</f>
        <v>0</v>
      </c>
      <c r="I28" s="72" t="n">
        <f aca="false">IFERROR(INDEX(Barrage[],MATCH(B28,Barrage[Name],0),COLUMN(Barrage[Heavy Armor])),0)</f>
        <v>0</v>
      </c>
      <c r="J28" s="90" t="n">
        <f aca="false">IFERROR(INDEX(Barrage[],MATCH(B28,Barrage[Name],0),COLUMN(Barrage[Burn %])),0)</f>
        <v>0</v>
      </c>
      <c r="K28" s="72" t="n">
        <f aca="false">IFERROR(INDEX(Barrage[],MATCH(B28,Barrage[Name],0),COLUMN(Barrage[Burn Coeff])),0)</f>
        <v>0</v>
      </c>
      <c r="L28" s="90" t="n">
        <f aca="false">IFERROR(INDEX(Barrage[],MATCH(B28,Barrage[Name],0),COLUMN(Barrage[Flood %])),0)</f>
        <v>0</v>
      </c>
      <c r="M28" s="79" t="n">
        <f aca="false">IFERROR(INDEX(Barrage[],MATCH(B28,Barrage[Name],0),COLUMN(Barrage[Flood Coeff])),0)</f>
        <v>0</v>
      </c>
      <c r="N28" s="72" t="n">
        <f aca="false">IFERROR(INDEX(Barrage[],MATCH(B28,Barrage[Name],0),COLUMN(Barrage[Stat Mod])),0)</f>
        <v>0</v>
      </c>
      <c r="O28" s="72" t="n">
        <f aca="false">IFERROR(INDEX(Barrage[],MATCH(B28,Barrage[Name],0),COLUMN(Barrage[Type2])),0)</f>
        <v>0</v>
      </c>
      <c r="P28" s="103" t="n">
        <v>1</v>
      </c>
      <c r="Q28" s="104" t="n">
        <v>0</v>
      </c>
      <c r="R28" s="103" t="n">
        <v>1</v>
      </c>
      <c r="S28" s="101" t="n">
        <v>0</v>
      </c>
      <c r="T28" s="101"/>
      <c r="U28" s="1"/>
      <c r="V28" s="63" t="s">
        <v>138</v>
      </c>
      <c r="W28" s="27" t="n">
        <f aca="false">W23/$L$15</f>
        <v>755.357885951444</v>
      </c>
      <c r="X28" s="27"/>
      <c r="Y28" s="27" t="n">
        <f aca="false">Y23/$L$15</f>
        <v>1036.23560691939</v>
      </c>
      <c r="Z28" s="27"/>
      <c r="AA28" s="27" t="n">
        <f aca="false">AA23/$L$15</f>
        <v>0</v>
      </c>
      <c r="AB28" s="11"/>
      <c r="AC28" s="11"/>
      <c r="AD28" s="27"/>
      <c r="AE28" s="27"/>
      <c r="AF28" s="27"/>
      <c r="AG28" s="27"/>
      <c r="AH28" s="27"/>
      <c r="AI28" s="11"/>
      <c r="AJ28" s="11"/>
      <c r="AK28" s="11"/>
      <c r="AL28" s="11"/>
      <c r="AM28" s="58"/>
      <c r="AN28" s="58"/>
      <c r="AO28" s="58"/>
      <c r="AP28" s="58"/>
      <c r="AQ28" s="58"/>
    </row>
    <row r="29" customFormat="false" ht="14.4" hidden="false" customHeight="false" outlineLevel="0" collapsed="false">
      <c r="A29" s="1"/>
      <c r="B29" s="72" t="str">
        <f aca="true">IFERROR(INDEX(INDIRECT(C3&amp;"Table"),MATCH(C2,INDIRECT(C3&amp;"Table"&amp;"[Name]"),0),COLUMN(INDIRECT(C3&amp;"Table"&amp;"[Barg7]"))),0)</f>
        <v>N/A</v>
      </c>
      <c r="C29" s="72"/>
      <c r="D29" s="72" t="n">
        <f aca="false">IFERROR(INDEX(Barrage[],MATCH(B29,Barrage[Name],0),COLUMN(Barrage[Total Damage])),0)</f>
        <v>0</v>
      </c>
      <c r="E29" s="72" t="n">
        <f aca="false">IFERROR(INDEX(Barrage[],MATCH(B29,Barrage[Name],0),COLUMN(Barrage[Base Damage])),0)</f>
        <v>0</v>
      </c>
      <c r="F29" s="72" t="n">
        <f aca="false">IFERROR(INDEX(Barrage[],MATCH(B29,Barrage[Name],0),COLUMN(Barrage[Total Rounds])),0)</f>
        <v>0</v>
      </c>
      <c r="G29" s="72" t="n">
        <f aca="false">IFERROR(INDEX(Barrage[],MATCH(B29,Barrage[Name],0),COLUMN(Barrage[Light Armor])),0)</f>
        <v>0</v>
      </c>
      <c r="H29" s="72" t="n">
        <f aca="false">IFERROR(INDEX(Barrage[],MATCH(B29,Barrage[Name],0),COLUMN(Barrage[Medium Armor])),0)</f>
        <v>0</v>
      </c>
      <c r="I29" s="72" t="n">
        <f aca="false">IFERROR(INDEX(Barrage[],MATCH(B29,Barrage[Name],0),COLUMN(Barrage[Heavy Armor])),0)</f>
        <v>0</v>
      </c>
      <c r="J29" s="90" t="n">
        <f aca="false">IFERROR(INDEX(Barrage[],MATCH(B29,Barrage[Name],0),COLUMN(Barrage[Burn %])),0)</f>
        <v>0</v>
      </c>
      <c r="K29" s="72" t="n">
        <f aca="false">IFERROR(INDEX(Barrage[],MATCH(B29,Barrage[Name],0),COLUMN(Barrage[Burn Coeff])),0)</f>
        <v>0</v>
      </c>
      <c r="L29" s="90" t="n">
        <f aca="false">IFERROR(INDEX(Barrage[],MATCH(B29,Barrage[Name],0),COLUMN(Barrage[Flood %])),0)</f>
        <v>0</v>
      </c>
      <c r="M29" s="79" t="n">
        <f aca="false">IFERROR(INDEX(Barrage[],MATCH(B29,Barrage[Name],0),COLUMN(Barrage[Flood Coeff])),0)</f>
        <v>0</v>
      </c>
      <c r="N29" s="72" t="n">
        <f aca="false">IFERROR(INDEX(Barrage[],MATCH(B29,Barrage[Name],0),COLUMN(Barrage[Stat Mod])),0)</f>
        <v>0</v>
      </c>
      <c r="O29" s="72" t="n">
        <f aca="false">IFERROR(INDEX(Barrage[],MATCH(B29,Barrage[Name],0),COLUMN(Barrage[Type2])),0)</f>
        <v>0</v>
      </c>
      <c r="P29" s="103" t="n">
        <v>1</v>
      </c>
      <c r="Q29" s="104" t="n">
        <v>0</v>
      </c>
      <c r="R29" s="103" t="n">
        <v>1</v>
      </c>
      <c r="S29" s="101" t="n">
        <v>0</v>
      </c>
      <c r="T29" s="101"/>
      <c r="U29" s="1"/>
      <c r="V29" s="63" t="s">
        <v>140</v>
      </c>
      <c r="W29" s="27" t="n">
        <f aca="false">W24/$L$15</f>
        <v>849.777621695375</v>
      </c>
      <c r="X29" s="27"/>
      <c r="Y29" s="27" t="n">
        <f aca="false">Y24/$L$15</f>
        <v>1424.82395951417</v>
      </c>
      <c r="Z29" s="27"/>
      <c r="AA29" s="27" t="n">
        <f aca="false">AA24/$L$15</f>
        <v>0</v>
      </c>
      <c r="AB29" s="11"/>
      <c r="AC29" s="11"/>
      <c r="AD29" s="27"/>
      <c r="AE29" s="27"/>
      <c r="AF29" s="27"/>
      <c r="AG29" s="27"/>
      <c r="AH29" s="27"/>
      <c r="AI29" s="11"/>
      <c r="AJ29" s="11"/>
      <c r="AK29" s="11"/>
      <c r="AL29" s="11"/>
      <c r="AM29" s="58"/>
      <c r="AN29" s="58"/>
      <c r="AO29" s="58"/>
      <c r="AP29" s="58"/>
      <c r="AQ29" s="58"/>
    </row>
    <row r="30" customFormat="false" ht="14.4" hidden="false" customHeight="false" outlineLevel="0" collapsed="false">
      <c r="A30" s="1"/>
      <c r="B30" s="72" t="str">
        <f aca="true">IFERROR(INDEX(INDIRECT(C3&amp;"Table"),MATCH(C2,INDIRECT(C3&amp;"Table"&amp;"[Name]"),0),COLUMN(INDIRECT(C3&amp;"Table"&amp;"[Barg8]"))),0)</f>
        <v>N/A</v>
      </c>
      <c r="C30" s="72"/>
      <c r="D30" s="72" t="n">
        <f aca="false">IFERROR(INDEX(Barrage[],MATCH(B30,Barrage[Name],0),COLUMN(Barrage[Total Damage])),0)</f>
        <v>0</v>
      </c>
      <c r="E30" s="72" t="n">
        <f aca="false">IFERROR(INDEX(Barrage[],MATCH(B30,Barrage[Name],0),COLUMN(Barrage[Base Damage])),0)</f>
        <v>0</v>
      </c>
      <c r="F30" s="72" t="n">
        <f aca="false">IFERROR(INDEX(Barrage[],MATCH(B30,Barrage[Name],0),COLUMN(Barrage[Total Rounds])),0)</f>
        <v>0</v>
      </c>
      <c r="G30" s="72" t="n">
        <f aca="false">IFERROR(INDEX(Barrage[],MATCH(B30,Barrage[Name],0),COLUMN(Barrage[Light Armor])),0)</f>
        <v>0</v>
      </c>
      <c r="H30" s="72" t="n">
        <f aca="false">IFERROR(INDEX(Barrage[],MATCH(B30,Barrage[Name],0),COLUMN(Barrage[Medium Armor])),0)</f>
        <v>0</v>
      </c>
      <c r="I30" s="72" t="n">
        <f aca="false">IFERROR(INDEX(Barrage[],MATCH(B30,Barrage[Name],0),COLUMN(Barrage[Heavy Armor])),0)</f>
        <v>0</v>
      </c>
      <c r="J30" s="90" t="n">
        <f aca="false">IFERROR(INDEX(Barrage[],MATCH(B30,Barrage[Name],0),COLUMN(Barrage[Burn %])),0)</f>
        <v>0</v>
      </c>
      <c r="K30" s="72" t="n">
        <f aca="false">IFERROR(INDEX(Barrage[],MATCH(B30,Barrage[Name],0),COLUMN(Barrage[Burn Coeff])),0)</f>
        <v>0</v>
      </c>
      <c r="L30" s="90" t="n">
        <f aca="false">IFERROR(INDEX(Barrage[],MATCH(B30,Barrage[Name],0),COLUMN(Barrage[Flood %])),0)</f>
        <v>0</v>
      </c>
      <c r="M30" s="79" t="n">
        <f aca="false">IFERROR(INDEX(Barrage[],MATCH(B30,Barrage[Name],0),COLUMN(Barrage[Flood Coeff])),0)</f>
        <v>0</v>
      </c>
      <c r="N30" s="72" t="n">
        <f aca="false">IFERROR(INDEX(Barrage[],MATCH(B30,Barrage[Name],0),COLUMN(Barrage[Stat Mod])),0)</f>
        <v>0</v>
      </c>
      <c r="O30" s="72" t="n">
        <f aca="false">IFERROR(INDEX(Barrage[],MATCH(B30,Barrage[Name],0),COLUMN(Barrage[Type2])),0)</f>
        <v>0</v>
      </c>
      <c r="P30" s="103" t="n">
        <v>1</v>
      </c>
      <c r="Q30" s="104" t="n">
        <v>0</v>
      </c>
      <c r="R30" s="103" t="n">
        <v>1</v>
      </c>
      <c r="S30" s="101" t="n">
        <v>0</v>
      </c>
      <c r="T30" s="101"/>
      <c r="U30" s="1"/>
      <c r="V30" s="63" t="s">
        <v>142</v>
      </c>
      <c r="W30" s="27" t="n">
        <f aca="false">W25/$L$15</f>
        <v>1038.61709318324</v>
      </c>
      <c r="X30" s="27"/>
      <c r="Y30" s="27" t="n">
        <f aca="false">Y25/$L$15</f>
        <v>1683.88286124401</v>
      </c>
      <c r="Z30" s="27"/>
      <c r="AA30" s="27" t="n">
        <f aca="false">AA25/$L$15</f>
        <v>0</v>
      </c>
      <c r="AB30" s="11"/>
      <c r="AC30" s="11"/>
      <c r="AD30" s="27"/>
      <c r="AE30" s="27"/>
      <c r="AF30" s="27"/>
      <c r="AG30" s="27"/>
      <c r="AH30" s="27"/>
      <c r="AI30" s="11"/>
      <c r="AJ30" s="11"/>
      <c r="AK30" s="11"/>
      <c r="AL30" s="11"/>
      <c r="AM30" s="58"/>
      <c r="AN30" s="58"/>
      <c r="AO30" s="58"/>
      <c r="AP30" s="58"/>
      <c r="AQ30" s="58"/>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1"/>
      <c r="T31" s="1"/>
      <c r="U31" s="1"/>
      <c r="V31" s="63"/>
      <c r="W31" s="11"/>
      <c r="X31" s="11"/>
      <c r="Y31" s="11"/>
      <c r="Z31" s="11"/>
      <c r="AA31" s="11"/>
      <c r="AB31" s="11"/>
      <c r="AC31" s="11"/>
      <c r="AD31" s="11"/>
      <c r="AE31" s="11"/>
      <c r="AF31" s="11"/>
      <c r="AG31" s="11"/>
      <c r="AH31" s="11"/>
      <c r="AI31" s="11"/>
      <c r="AJ31" s="11"/>
      <c r="AK31" s="11"/>
      <c r="AL31" s="11"/>
      <c r="AM31" s="58"/>
      <c r="AN31" s="58"/>
      <c r="AO31" s="58"/>
      <c r="AP31" s="58"/>
      <c r="AQ31" s="58"/>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1"/>
      <c r="T32" s="1"/>
      <c r="U32" s="1"/>
      <c r="V32" s="63" t="s">
        <v>228</v>
      </c>
      <c r="W32" s="63" t="s">
        <v>293</v>
      </c>
      <c r="X32" s="63"/>
      <c r="Y32" s="63" t="s">
        <v>294</v>
      </c>
      <c r="Z32" s="63"/>
      <c r="AA32" s="63" t="s">
        <v>295</v>
      </c>
      <c r="AB32" s="63"/>
      <c r="AC32" s="63" t="s">
        <v>296</v>
      </c>
      <c r="AD32" s="63"/>
      <c r="AE32" s="63" t="s">
        <v>297</v>
      </c>
      <c r="AF32" s="63"/>
      <c r="AG32" s="63" t="s">
        <v>298</v>
      </c>
      <c r="AH32" s="63"/>
      <c r="AI32" s="63" t="s">
        <v>299</v>
      </c>
      <c r="AJ32" s="63"/>
      <c r="AK32" s="63" t="s">
        <v>300</v>
      </c>
      <c r="AL32" s="63"/>
      <c r="AM32" s="58"/>
      <c r="AN32" s="58"/>
      <c r="AO32" s="58"/>
      <c r="AP32" s="58"/>
      <c r="AQ32" s="58"/>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1"/>
      <c r="T33" s="1"/>
      <c r="U33" s="1"/>
      <c r="V33" s="63" t="s">
        <v>138</v>
      </c>
      <c r="W33" s="27" t="n">
        <f aca="false">((100+IF(O23="FP",SUM(C15:H15),AC3*N23*O12))/100)/IF(Q23=0,L15,Q23)*AE20*P23*D23*G23*O13*(1-R15)*R23</f>
        <v>0</v>
      </c>
      <c r="X33" s="27"/>
      <c r="Y33" s="27" t="n">
        <f aca="false">((100+IF(O24="FP",SUM(C15:H15),AC3*N24*O12))/100)/IF(Q24=0,L15,Q24)*AE20*P24*D24*G24*O13*(1-R15)*R24</f>
        <v>0</v>
      </c>
      <c r="Z33" s="27"/>
      <c r="AA33" s="27" t="n">
        <f aca="false">((100+IF(O25="FP",SUM(C15:H15),AC3*N25*O12))/100)/IF(Q25=0,L15,Q25)*AE20*P25*D25*G25*O13*(1-R15)*R25</f>
        <v>0</v>
      </c>
      <c r="AB33" s="27"/>
      <c r="AC33" s="27" t="n">
        <f aca="false">((100+IF(O26="FP",SUM(C15:H15),AC3*N26*O12))/100)/IF(Q26=0,L15,Q26)*AE20*P26*D26*G26*O13*(1-R15)*R26</f>
        <v>0</v>
      </c>
      <c r="AD33" s="27"/>
      <c r="AE33" s="27" t="n">
        <f aca="false">((100+IF(O27="FP",SUM(C15:H15),AC3*N27*O12))/100)/IF(Q27=0,$L$15,Q27)*$AE$20*P27*D27*G27*$O$13*(1-$R$15)*R27</f>
        <v>0</v>
      </c>
      <c r="AF33" s="27"/>
      <c r="AG33" s="27" t="n">
        <f aca="false">((100+IF(O28="FP",SUM(C15:H15),AC3*N28*O12))/100)/IF(Q28=0,$L$15,Q28)*$AE$20*P28*D28*G28*$O$13*(1-$R$15)*R28</f>
        <v>0</v>
      </c>
      <c r="AH33" s="27"/>
      <c r="AI33" s="27" t="n">
        <f aca="false">((100+IF(O29="FP",SUM(C15:H15),AC3*N29*O12))/100)/IF(Q29=0,$L$15,Q29)*$AE$20*P29*D29*G29*$O$13*(1-$R$15)*R29</f>
        <v>0</v>
      </c>
      <c r="AJ33" s="27"/>
      <c r="AK33" s="27" t="n">
        <f aca="false">((100+IF(O30="FP",SUM(C15:H15),AC3*N30*O12))/100)/IF(Q30=0,$L$15,Q30)*$AE$20*P30*D30*G30*$O$13*(1-$R$15)*R30</f>
        <v>0</v>
      </c>
      <c r="AL33" s="27"/>
      <c r="AM33" s="58"/>
      <c r="AN33" s="58"/>
      <c r="AO33" s="58"/>
      <c r="AP33" s="58"/>
      <c r="AQ33" s="58"/>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1"/>
      <c r="T34" s="1"/>
      <c r="U34" s="1"/>
      <c r="V34" s="63" t="s">
        <v>140</v>
      </c>
      <c r="W34" s="27" t="n">
        <f aca="false">((100+IF(O23="FP",SUM(C15:H15),AC3*N23*O12))/100)/IF(Q23=0,L15,Q23)*AE20*P23*D23*H23*O13*(1-R15)*R23</f>
        <v>0</v>
      </c>
      <c r="X34" s="27"/>
      <c r="Y34" s="27" t="n">
        <f aca="false">((100+IF(O24="FP",SUM(C15:H15),AC3*N24*O12))/100)/IF(Q24=0,L15,Q24)*AE20*P24*D24*H24*O13*(1-R15)*R24</f>
        <v>0</v>
      </c>
      <c r="Z34" s="27"/>
      <c r="AA34" s="27" t="n">
        <f aca="false">((100+IF(O25="FP",SUM(C15:H15),AC3*N25*O12))/100)/IF(Q25=0,L15,Q25)*AE20*P25*D25*H25*O13*(1-R15)*R25</f>
        <v>0</v>
      </c>
      <c r="AB34" s="27"/>
      <c r="AC34" s="27" t="n">
        <f aca="false">((100+IF(O26="FP",SUM(C15:H15),AC3*N26*O12))/100)/IF(Q26=0,L15,Q26)*AE20*P26*D26*H26*O13*(1-R15)*R26</f>
        <v>0</v>
      </c>
      <c r="AD34" s="27"/>
      <c r="AE34" s="27" t="n">
        <f aca="false">((100+IF(O27="FP",SUM(C15:H15),AC3*N27*O12))/100)/IF(Q27=0,$L$15,Q27)*$AE$20*P27*D27*H27*$O$13*(1-$R$15)*R27</f>
        <v>0</v>
      </c>
      <c r="AF34" s="27"/>
      <c r="AG34" s="27" t="n">
        <f aca="false">((100+IF(O28="FP",SUM(C15:H15),AC3*N28*O12))/100)/IF(Q28=0,$L$15,Q28)*$AE$20*P28*D28*H28*$O$13*(1-$R$15)*R28</f>
        <v>0</v>
      </c>
      <c r="AH34" s="27"/>
      <c r="AI34" s="27" t="n">
        <f aca="false">((100+IF(O29="FP",SUM(C15:H15),AC3*N29*O12))/100)/IF(Q29=0,$L$15,Q29)*$AE$20*P29*D29*H29*$O$13*(1-$R$15)*R29</f>
        <v>0</v>
      </c>
      <c r="AJ34" s="27"/>
      <c r="AK34" s="27" t="n">
        <f aca="false">((100+IF(O30="FP",SUM(C15:H15),AC3*N30*O12))/100)/IF(Q30=0,$L$15,Q30)*$AE$20*P30*D30*H30*$O$13*(1-$R$15)*R30</f>
        <v>0</v>
      </c>
      <c r="AL34" s="27"/>
      <c r="AM34" s="58"/>
      <c r="AN34" s="58"/>
      <c r="AO34" s="58"/>
      <c r="AP34" s="58"/>
      <c r="AQ34" s="58"/>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1"/>
      <c r="T35" s="1"/>
      <c r="U35" s="1"/>
      <c r="V35" s="63" t="s">
        <v>142</v>
      </c>
      <c r="W35" s="27" t="n">
        <f aca="false">((100+IF(O23="FP",SUM(C15:H15),AC3*N23*O12))/100)/IF(Q23=0,L15,Q23)*AE20*P23*D23*I23*O13*(1-R15)*R23</f>
        <v>0</v>
      </c>
      <c r="X35" s="27"/>
      <c r="Y35" s="27" t="n">
        <f aca="false">((100+IF(O24="FP",SUM(C15:H15),AC3*N24*O12))/100)/IF(Q24=0,L15,Q24)*AE20*P24*D24*I24*O13*(1-R15)*R24</f>
        <v>0</v>
      </c>
      <c r="Z35" s="27"/>
      <c r="AA35" s="27" t="n">
        <f aca="false">((100+IF(O25="FP",SUM(C15:H15),AC3*N25*O12))/100)/IF(Q25=0,L15,Q25)*AE20*P25*D25*I25*O13*(1-R15)*R25</f>
        <v>0</v>
      </c>
      <c r="AB35" s="27"/>
      <c r="AC35" s="27" t="n">
        <f aca="false">((100+IF(O26="FP",SUM(C15:H15),AC3*N26*O12))/100)/IF(Q26=0,L15,Q26)*AE20*P26*D26*I26*O13*(1-R15)*R26</f>
        <v>0</v>
      </c>
      <c r="AD35" s="27"/>
      <c r="AE35" s="27" t="n">
        <f aca="false">((100+IF(O27="FP",SUM(C15:H15),AC3*N27*O12))/100)/IF(Q27=0,$L$15,Q27)*$AE$20*P27*D27*I27*$O$13*(1-$R$15)*R27</f>
        <v>0</v>
      </c>
      <c r="AF35" s="27"/>
      <c r="AG35" s="27" t="n">
        <f aca="false">((100+IF(O28="FP",SUM(C15:H15),AC3*N28*O12))/100)/IF(Q28=0,$L$15,Q28)*$AE$20*P28*D28*I28*$O$13*(1-$R$15)*R28</f>
        <v>0</v>
      </c>
      <c r="AH35" s="27"/>
      <c r="AI35" s="27" t="n">
        <f aca="false">((100+IF(O29="FP",SUM(C15:H15),AC3*N29*O12))/100)/IF(Q29=0,$L$15,Q29)*$AE$20*P29*D29*I29*$O$13*(1-$R$15)*R29</f>
        <v>0</v>
      </c>
      <c r="AJ35" s="27"/>
      <c r="AK35" s="27" t="n">
        <f aca="false">((100+IF(O30="FP",SUM(C15:H15),AC3*N30*O12))/100)/IF(Q30=0,$L$15,Q30)*$AE$20*P30*D30*I30*$O$13*(1-$R$15)*R30</f>
        <v>0</v>
      </c>
      <c r="AL35" s="27"/>
      <c r="AM35" s="58"/>
      <c r="AN35" s="58"/>
      <c r="AO35" s="58"/>
      <c r="AP35" s="58"/>
      <c r="AQ35" s="58"/>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1"/>
      <c r="T36" s="1"/>
      <c r="U36" s="1"/>
      <c r="V36" s="63"/>
      <c r="W36" s="11"/>
      <c r="X36" s="11"/>
      <c r="Y36" s="11"/>
      <c r="Z36" s="11"/>
      <c r="AA36" s="11"/>
      <c r="AB36" s="11"/>
      <c r="AC36" s="11"/>
      <c r="AD36" s="11"/>
      <c r="AE36" s="27"/>
      <c r="AF36" s="11"/>
      <c r="AG36" s="11"/>
      <c r="AH36" s="11"/>
      <c r="AI36" s="11"/>
      <c r="AJ36" s="11"/>
      <c r="AK36" s="11"/>
      <c r="AL36" s="11"/>
      <c r="AM36" s="58"/>
      <c r="AN36" s="58"/>
      <c r="AO36" s="58"/>
      <c r="AP36" s="58"/>
      <c r="AQ36" s="58"/>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1"/>
      <c r="T37" s="1"/>
      <c r="U37" s="1"/>
      <c r="V37" s="63" t="s">
        <v>228</v>
      </c>
      <c r="W37" s="63" t="s">
        <v>229</v>
      </c>
      <c r="X37" s="11"/>
      <c r="Y37" s="63" t="s">
        <v>230</v>
      </c>
      <c r="Z37" s="11"/>
      <c r="AA37" s="63" t="s">
        <v>231</v>
      </c>
      <c r="AB37" s="11"/>
      <c r="AC37" s="63" t="s">
        <v>232</v>
      </c>
      <c r="AD37" s="11"/>
      <c r="AE37" s="63" t="s">
        <v>233</v>
      </c>
      <c r="AF37" s="11"/>
      <c r="AG37" s="63" t="s">
        <v>234</v>
      </c>
      <c r="AH37" s="11"/>
      <c r="AI37" s="63" t="s">
        <v>235</v>
      </c>
      <c r="AJ37" s="11"/>
      <c r="AK37" s="63" t="s">
        <v>301</v>
      </c>
      <c r="AL37" s="63"/>
      <c r="AM37" s="58"/>
      <c r="AN37" s="58"/>
      <c r="AO37" s="58"/>
      <c r="AP37" s="58"/>
      <c r="AQ37" s="58"/>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1"/>
      <c r="T38" s="1"/>
      <c r="U38" s="1"/>
      <c r="V38" s="63" t="s">
        <v>138</v>
      </c>
      <c r="W38" s="27" t="n">
        <f aca="false">((100+IF(O23="FP",SUM(C15:H15),AC3*N23*O12))/100)*AE20*P23*D23*G23*O13*(1-R15)*R23</f>
        <v>0</v>
      </c>
      <c r="X38" s="63"/>
      <c r="Y38" s="27" t="n">
        <f aca="false">((100+IF(O24="FP",SUM(C15:H15),AC3*N24*O12))/100)*AE20*P24*D24*G24*O13*(1-R15)*R24</f>
        <v>0</v>
      </c>
      <c r="Z38" s="63"/>
      <c r="AA38" s="27" t="n">
        <f aca="false">((100+IF(O25="FP",SUM(C15:H15),AC3*N25*O12))/100)*AE20*P25*D25*G25*O13*(1-R15)*R25</f>
        <v>0</v>
      </c>
      <c r="AB38" s="63"/>
      <c r="AC38" s="27" t="n">
        <f aca="false">((100+IF(O26="FP",SUM(C15:H15),AC3*N26*O12))/100)*AE20*P26*D26*G26*O13*(1-R15)*R26</f>
        <v>0</v>
      </c>
      <c r="AD38" s="63"/>
      <c r="AE38" s="27" t="n">
        <f aca="false">((100+IF(O27="FP",SUM(C15:H15),AC3*N27*O12))/100)*$AE$20*P27*D27*G27*$O$13*(1-$R$15)*R27</f>
        <v>0</v>
      </c>
      <c r="AF38" s="63"/>
      <c r="AG38" s="27" t="n">
        <f aca="false">((100+IF(O28="FP",SUM(C15:H15),AC3*N28*O12))/100)*$AE$20*P28*D28*G28*$O$13*(1-$R$15)*R28</f>
        <v>0</v>
      </c>
      <c r="AH38" s="63"/>
      <c r="AI38" s="27" t="n">
        <f aca="false">((100+IF(O29="FP",SUM(C15:H15),AC3*N29*O12))/100)*$AE$20*P29*D29*G29*$O$13*(1-$R$15)*R29</f>
        <v>0</v>
      </c>
      <c r="AJ38" s="63"/>
      <c r="AK38" s="27" t="n">
        <f aca="false">((100+IF(O30="FP",SUM(C15:H15),AC3*N30*O12))/100)*$AE$20*P30*D30*G30*$O$13*(1-$R$15)*R30</f>
        <v>0</v>
      </c>
      <c r="AL38" s="27"/>
      <c r="AM38" s="58"/>
      <c r="AN38" s="58"/>
      <c r="AO38" s="58"/>
      <c r="AP38" s="58"/>
      <c r="AQ38" s="58"/>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1"/>
      <c r="T39" s="1"/>
      <c r="U39" s="1"/>
      <c r="V39" s="63" t="s">
        <v>140</v>
      </c>
      <c r="W39" s="27" t="n">
        <f aca="false">((100+IF(O23="FP",SUM(C15:H15),AC3*N23*O12))/100)*AE20*P23*D23*H23*O13*(1-R15)*R23</f>
        <v>0</v>
      </c>
      <c r="X39" s="11"/>
      <c r="Y39" s="27" t="n">
        <f aca="false">((100+IF(O24="FP",SUM(C15:H15),AC3*N24*O12))/100)*AE20*P24*D24*H24*O13*(1-R15)*R24</f>
        <v>0</v>
      </c>
      <c r="Z39" s="11"/>
      <c r="AA39" s="27" t="n">
        <f aca="false">((100+IF(O25="FP",SUM(C15:H15),AC3*N25*O12))/100)*AE20*P25*D25*H25*O13*(1-R15)*R25</f>
        <v>0</v>
      </c>
      <c r="AB39" s="11"/>
      <c r="AC39" s="27" t="n">
        <f aca="false">((100+IF(O26="FP",SUM(C15:H15),AC3*N26*O12))/100)*AE20*P26*D26*H26*O13*(1-R15)*R26</f>
        <v>0</v>
      </c>
      <c r="AD39" s="27"/>
      <c r="AE39" s="27" t="n">
        <f aca="false">((100+IF(O27="FP",SUM(C15:H15),AC3*N27*O12))/100)*$AE$20*P27*D27*H27*$O$13*(1-$R$15)*R27</f>
        <v>0</v>
      </c>
      <c r="AF39" s="27"/>
      <c r="AG39" s="27" t="n">
        <f aca="false">((100+IF(O28="FP",SUM(C15:H15),AC3*N28*O12))/100)*$AE$20*P28*D28*H28*$O$13*(1-$R$15)*R28</f>
        <v>0</v>
      </c>
      <c r="AH39" s="27"/>
      <c r="AI39" s="27" t="n">
        <f aca="false">((100+IF(O29="FP",SUM(C15:H15),AC3*N29*O12))/100)*$AE$20*P29*D29*H29*$O$13*(1-$R$15)*R29</f>
        <v>0</v>
      </c>
      <c r="AJ39" s="27"/>
      <c r="AK39" s="27" t="n">
        <f aca="false">((100+IF(O30="FP",SUM(C15:H15),AC3*N30*O12))/100)*$AE$20*P30*D30*H30*$O$13*(1-$R$15)*R30</f>
        <v>0</v>
      </c>
      <c r="AL39" s="27"/>
      <c r="AM39" s="58"/>
      <c r="AN39" s="58"/>
      <c r="AO39" s="58"/>
      <c r="AP39" s="58"/>
      <c r="AQ39" s="58"/>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63" t="s">
        <v>142</v>
      </c>
      <c r="W40" s="27" t="n">
        <f aca="false">((100+IF(O23="FP",SUM(C15:H15),AC3*N23*O12))/100)*AE20*P23*D23*I23*O13*(1-R15)*R23</f>
        <v>0</v>
      </c>
      <c r="X40" s="63"/>
      <c r="Y40" s="27" t="n">
        <f aca="false">((100+IF(O24="FP",SUM(C15:H15),AC3*N24*O12))/100)*AE20*P24*D24*I24*O13*(1-R15)*R24</f>
        <v>0</v>
      </c>
      <c r="Z40" s="63"/>
      <c r="AA40" s="27" t="n">
        <f aca="false">((100+IF(O25="FP",SUM(C15:H15),AC3*N25*O12))/100)*AE20*P25*D25*I25*O13*(1-R15)*R25</f>
        <v>0</v>
      </c>
      <c r="AB40" s="63"/>
      <c r="AC40" s="27" t="n">
        <f aca="false">((100+IF(O26="FP",SUM(C15:H15),AC3*N26*O12))/100)*AE20*P26*D26*I26*O13*(1-R15)*R26</f>
        <v>0</v>
      </c>
      <c r="AD40" s="27"/>
      <c r="AE40" s="27" t="n">
        <f aca="false">((100+IF(O27="FP",SUM(C15:H15),AC3*N27*O12))/100)*$AE$20*P27*D27*I27*$O$13*(1-$R$15)*R27</f>
        <v>0</v>
      </c>
      <c r="AF40" s="27"/>
      <c r="AG40" s="27" t="n">
        <f aca="false">((100+IF(O28="FP",SUM(C15:H15),AC3*N28*O12))/100)*$AE$20*P28*D28*I28*$O$13*(1-$R$15)*R28</f>
        <v>0</v>
      </c>
      <c r="AH40" s="11"/>
      <c r="AI40" s="27" t="n">
        <f aca="false">((100+IF(O29="FP",SUM(C15:H15),AC3*N29*O12))/100)*$AE$20*P29*D29*I29*$O$13*(1-$R$15)*R29</f>
        <v>0</v>
      </c>
      <c r="AJ40" s="11"/>
      <c r="AK40" s="27" t="n">
        <f aca="false">((100+IF(O30="FP",SUM(C15:H15),AC3*N30*O12))/100)*$AE$20*P30*D30*I30*$O$13*(1-$R$15)*R30</f>
        <v>0</v>
      </c>
      <c r="AL40" s="11"/>
      <c r="AM40" s="58"/>
      <c r="AN40" s="58"/>
      <c r="AO40" s="58"/>
      <c r="AP40" s="58"/>
      <c r="AQ40" s="58"/>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63"/>
      <c r="W41" s="63"/>
      <c r="X41" s="27"/>
      <c r="Y41" s="63"/>
      <c r="Z41" s="27"/>
      <c r="AA41" s="63"/>
      <c r="AB41" s="27"/>
      <c r="AC41" s="63"/>
      <c r="AD41" s="63"/>
      <c r="AE41" s="63"/>
      <c r="AF41" s="63"/>
      <c r="AG41" s="63"/>
      <c r="AH41" s="63"/>
      <c r="AI41" s="63"/>
      <c r="AJ41" s="63"/>
      <c r="AK41" s="63"/>
      <c r="AL41" s="63"/>
      <c r="AM41" s="58"/>
      <c r="AN41" s="58"/>
      <c r="AO41" s="58"/>
      <c r="AP41" s="58"/>
      <c r="AQ41" s="58"/>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63" t="s">
        <v>302</v>
      </c>
      <c r="W42" s="63" t="s">
        <v>229</v>
      </c>
      <c r="X42" s="63"/>
      <c r="Y42" s="63" t="s">
        <v>230</v>
      </c>
      <c r="Z42" s="63"/>
      <c r="AA42" s="63" t="s">
        <v>231</v>
      </c>
      <c r="AB42" s="63"/>
      <c r="AC42" s="63" t="s">
        <v>232</v>
      </c>
      <c r="AD42" s="27"/>
      <c r="AE42" s="63" t="s">
        <v>233</v>
      </c>
      <c r="AF42" s="63"/>
      <c r="AG42" s="63" t="s">
        <v>234</v>
      </c>
      <c r="AH42" s="63"/>
      <c r="AI42" s="63" t="s">
        <v>235</v>
      </c>
      <c r="AJ42" s="27"/>
      <c r="AK42" s="63" t="s">
        <v>301</v>
      </c>
      <c r="AL42" s="27"/>
      <c r="AM42" s="58"/>
      <c r="AN42" s="58"/>
      <c r="AO42" s="58"/>
      <c r="AP42" s="58"/>
      <c r="AQ42" s="58"/>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63" t="s">
        <v>284</v>
      </c>
      <c r="W43" s="27" t="n">
        <f aca="false">(E23*P23*((100+N23*AC3*O12)/100)*IF(K23=0,K19,K23)+5)*(1-(1-J23)^(F23))*5*(1-R15)</f>
        <v>0</v>
      </c>
      <c r="X43" s="27"/>
      <c r="Y43" s="27" t="n">
        <f aca="false">(E24*P24*((100+N24*AC3*O12)/100)*IF(K24=0,K19,K24)+5)*(1-(1-J24)^(F24))*5*(1-R15)</f>
        <v>0</v>
      </c>
      <c r="Z43" s="27"/>
      <c r="AA43" s="27" t="n">
        <f aca="false">(E25*P25*((100+N25*AC3*O12)/100)*IF(K25=0,K19,K25)+5)*(1-(1-J25)^(F25))*5*(1-R15)</f>
        <v>0</v>
      </c>
      <c r="AB43" s="27"/>
      <c r="AC43" s="27" t="n">
        <f aca="false">(E26*P26*((100+N26*AC3*(1+O12))/100)*IF(K26=0,K19,K26)+5)*(1-(1-J26)^(F26))*5*(1-R15)</f>
        <v>0</v>
      </c>
      <c r="AD43" s="27"/>
      <c r="AE43" s="27" t="n">
        <f aca="false">(E27*P27*((100+N27*$AC$3*(1+$O$12))/100)*IF(K27=0,$K$19,K27)+5)*(1-(1-J27)^(F27))*5*(1-$R$15)</f>
        <v>0</v>
      </c>
      <c r="AF43" s="27"/>
      <c r="AG43" s="27" t="n">
        <f aca="false">(E28*P28*((100+N28*$AC$3*(1+$O$12))/100)*IF(K28=0,$K$19,K28)+5)*(1-(1-J28)^(F28))*5*(1-$R$15)</f>
        <v>0</v>
      </c>
      <c r="AH43" s="27"/>
      <c r="AI43" s="27" t="n">
        <f aca="false">(E29*P29*((100+N29*$AC$3*(1+$O$12))/100)*IF(K29=0,$K$19,K29)+5)*(1-(1-J29)^(F29))*5*(1-$R$15)</f>
        <v>0</v>
      </c>
      <c r="AJ43" s="27"/>
      <c r="AK43" s="27" t="n">
        <f aca="false">(E30*P30*((100+N30*$AC$3*(1+$O$12))/100)*IF(K30=0,$K$19,K30)+5)*(1-(1-J30)^(F30))*5*(1-$R$15)</f>
        <v>0</v>
      </c>
      <c r="AL43" s="27"/>
      <c r="AM43" s="58"/>
      <c r="AN43" s="58"/>
      <c r="AO43" s="58"/>
      <c r="AP43" s="58"/>
      <c r="AQ43" s="58"/>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63" t="s">
        <v>303</v>
      </c>
      <c r="W44" s="27" t="n">
        <f aca="false">L23*(E23*((100+AC3*N23*O12)/100)*M23+10)*IF(C2="Formidable",3,8)*(1-R15)</f>
        <v>0</v>
      </c>
      <c r="X44" s="27"/>
      <c r="Y44" s="27" t="n">
        <f aca="false">L24*(E24*((100+AC3*N24*O12)/100)*M24+10)*8*(1-R15)</f>
        <v>0</v>
      </c>
      <c r="Z44" s="27"/>
      <c r="AA44" s="27" t="n">
        <f aca="false">L25*(E25*((100+AC3*N25*O12)/100)*M25+10)*8*(1-R15)</f>
        <v>0</v>
      </c>
      <c r="AB44" s="27"/>
      <c r="AC44" s="27" t="n">
        <f aca="false">L26*(E26*((100+AC3*N26*(1+O12))/100)*M26+10)*8*(1-R15)</f>
        <v>0</v>
      </c>
      <c r="AD44" s="27"/>
      <c r="AE44" s="27" t="n">
        <f aca="false">L27*(E27*((100+$AC$3*N27*(1+$O$12))/100)*M27+10)*8*(1-$R$15)</f>
        <v>0</v>
      </c>
      <c r="AF44" s="27"/>
      <c r="AG44" s="27" t="n">
        <f aca="false">L28*(E28*((100+$AC$3*N28*(1+$O$12))/100)*M28+10)*8*(1-$R$15)</f>
        <v>0</v>
      </c>
      <c r="AH44" s="27"/>
      <c r="AI44" s="27" t="n">
        <f aca="false">L29*(E29*((100+$AC$3*N29*(1+$O$12))/100)*M29+10)*8*(1-$R$15)</f>
        <v>0</v>
      </c>
      <c r="AJ44" s="27"/>
      <c r="AK44" s="27" t="n">
        <f aca="false">L30*(E30*((100+$AC$3*N30*(1+$O$12))/100)*M30+10)*8*(1-$R$15)</f>
        <v>0</v>
      </c>
      <c r="AL44" s="27"/>
      <c r="AM44" s="58"/>
      <c r="AN44" s="58"/>
      <c r="AO44" s="58"/>
      <c r="AP44" s="58"/>
      <c r="AQ44" s="58"/>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63"/>
      <c r="W45" s="11"/>
      <c r="X45" s="11"/>
      <c r="Y45" s="11"/>
      <c r="Z45" s="11"/>
      <c r="AA45" s="11"/>
      <c r="AB45" s="11"/>
      <c r="AC45" s="11"/>
      <c r="AD45" s="27"/>
      <c r="AE45" s="27"/>
      <c r="AF45" s="27"/>
      <c r="AG45" s="27"/>
      <c r="AH45" s="27"/>
      <c r="AI45" s="27"/>
      <c r="AJ45" s="27"/>
      <c r="AK45" s="27"/>
      <c r="AL45" s="27"/>
      <c r="AM45" s="58"/>
      <c r="AN45" s="58"/>
      <c r="AO45" s="58"/>
      <c r="AP45" s="58"/>
      <c r="AQ45" s="58"/>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63" t="s">
        <v>302</v>
      </c>
      <c r="W46" s="63" t="s">
        <v>293</v>
      </c>
      <c r="X46" s="63"/>
      <c r="Y46" s="63" t="s">
        <v>294</v>
      </c>
      <c r="Z46" s="63"/>
      <c r="AA46" s="63" t="s">
        <v>295</v>
      </c>
      <c r="AB46" s="63"/>
      <c r="AC46" s="63" t="s">
        <v>296</v>
      </c>
      <c r="AD46" s="27"/>
      <c r="AE46" s="63" t="s">
        <v>297</v>
      </c>
      <c r="AF46" s="63"/>
      <c r="AG46" s="63" t="s">
        <v>298</v>
      </c>
      <c r="AH46" s="63"/>
      <c r="AI46" s="63" t="s">
        <v>299</v>
      </c>
      <c r="AJ46" s="63"/>
      <c r="AK46" s="63" t="s">
        <v>300</v>
      </c>
      <c r="AL46" s="27"/>
      <c r="AM46" s="58"/>
      <c r="AN46" s="58"/>
      <c r="AO46" s="58"/>
      <c r="AP46" s="58"/>
      <c r="AQ46" s="58"/>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63" t="s">
        <v>241</v>
      </c>
      <c r="W47" s="27" t="n">
        <f aca="false">W43/15*(MIN((15/IF(Q23=0,L15,Q23)),1))</f>
        <v>0</v>
      </c>
      <c r="X47" s="27"/>
      <c r="Y47" s="27" t="n">
        <f aca="false">Y43/15*(MIN((15/IF(Q24=0,L15,Q24)),1))</f>
        <v>0</v>
      </c>
      <c r="Z47" s="27"/>
      <c r="AA47" s="27" t="n">
        <f aca="false">AA43/15*(MIN((15/IF(Q25=0,L15,Q25)),1))</f>
        <v>0</v>
      </c>
      <c r="AB47" s="27"/>
      <c r="AC47" s="27" t="n">
        <f aca="false">AC43/15*(MIN((15/IF(Q26=0,L15,Q26)),1))</f>
        <v>0</v>
      </c>
      <c r="AD47" s="27"/>
      <c r="AE47" s="27" t="n">
        <f aca="false">AE43/15*(MIN((15/IF(Q27=0,L15,Q27)),1))</f>
        <v>0</v>
      </c>
      <c r="AF47" s="27"/>
      <c r="AG47" s="27" t="n">
        <f aca="false">AG43/15*(MIN((15/IF(Q28=0,L15,Q28)),1))</f>
        <v>0</v>
      </c>
      <c r="AH47" s="27"/>
      <c r="AI47" s="27" t="n">
        <f aca="false">AI43/15*(MIN((15/IF(Q29=0,L15,Q29)),1))</f>
        <v>0</v>
      </c>
      <c r="AJ47" s="27"/>
      <c r="AK47" s="27" t="n">
        <f aca="false">AK43/15*(MIN((15/IF(Q30=0,L15,Q30)),1))</f>
        <v>0</v>
      </c>
      <c r="AL47" s="27"/>
      <c r="AM47" s="58"/>
      <c r="AN47" s="58"/>
      <c r="AO47" s="58"/>
      <c r="AP47" s="58"/>
      <c r="AQ47" s="58"/>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63" t="s">
        <v>304</v>
      </c>
      <c r="W48" s="27" t="n">
        <f aca="false">W44/IF(C2="Formidable",9,24)*(MIN((IF(C2="Formidable",9,24)/IF(Q23=0,L15,Q23)),1))</f>
        <v>0</v>
      </c>
      <c r="X48" s="27"/>
      <c r="Y48" s="27" t="n">
        <f aca="false">Y44/15*(MIN((24/IF(Q24=0,L15,Q24)),1))</f>
        <v>0</v>
      </c>
      <c r="Z48" s="27"/>
      <c r="AA48" s="27" t="n">
        <f aca="false">AA44/24*(MIN((24/IF(Q25=0,L15,Q25)),1))</f>
        <v>0</v>
      </c>
      <c r="AB48" s="27"/>
      <c r="AC48" s="27" t="n">
        <f aca="false">AC44/24*(MIN((24/IF(Q26=0,L15,Q26)),1))</f>
        <v>0</v>
      </c>
      <c r="AD48" s="27"/>
      <c r="AE48" s="27" t="n">
        <f aca="false">AE44/15*(MIN((15/IF(Q27=0,L15,Q27)),1))</f>
        <v>0</v>
      </c>
      <c r="AF48" s="27"/>
      <c r="AG48" s="27" t="n">
        <f aca="false">AG44/15*(MIN((15/IF(Q28=0,L15,Q28)),1))</f>
        <v>0</v>
      </c>
      <c r="AH48" s="27"/>
      <c r="AI48" s="27" t="n">
        <f aca="false">AI44/15*(MIN((15/IF(Q29=0,L15,Q29)),1))</f>
        <v>0</v>
      </c>
      <c r="AJ48" s="27"/>
      <c r="AK48" s="27" t="n">
        <f aca="false">AK44/15*(MIN((15/IF(Q30=0,L15,Q30)),1))</f>
        <v>0</v>
      </c>
      <c r="AL48" s="27"/>
      <c r="AM48" s="58"/>
      <c r="AN48" s="58"/>
      <c r="AO48" s="58"/>
      <c r="AP48" s="58"/>
      <c r="AQ48" s="58"/>
    </row>
    <row r="49" customFormat="false" ht="14.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58"/>
      <c r="AB49" s="58"/>
      <c r="AC49" s="58"/>
      <c r="AD49" s="58"/>
      <c r="AE49" s="58"/>
      <c r="AF49" s="58"/>
      <c r="AG49" s="58"/>
      <c r="AH49" s="58"/>
      <c r="AI49" s="58"/>
      <c r="AJ49" s="58"/>
      <c r="AK49" s="58"/>
      <c r="AL49" s="58"/>
      <c r="AM49" s="58"/>
      <c r="AN49" s="58"/>
      <c r="AO49" s="58"/>
      <c r="AP49" s="58"/>
      <c r="AQ49" s="58"/>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58"/>
      <c r="AB50" s="58"/>
      <c r="AC50" s="58"/>
      <c r="AD50" s="58"/>
      <c r="AE50" s="58"/>
      <c r="AF50" s="58"/>
      <c r="AG50" s="58"/>
      <c r="AH50" s="58"/>
      <c r="AI50" s="58"/>
      <c r="AJ50" s="58"/>
      <c r="AK50" s="58"/>
      <c r="AL50" s="58"/>
      <c r="AM50" s="58"/>
      <c r="AN50" s="58"/>
      <c r="AO50" s="58"/>
      <c r="AP50" s="58"/>
      <c r="AQ50" s="58"/>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58"/>
      <c r="AB51" s="58"/>
      <c r="AC51" s="58"/>
      <c r="AD51" s="58"/>
      <c r="AE51" s="58"/>
      <c r="AF51" s="58"/>
      <c r="AG51" s="58"/>
      <c r="AH51" s="58"/>
      <c r="AI51" s="58"/>
      <c r="AJ51" s="58"/>
      <c r="AK51" s="58"/>
      <c r="AL51" s="58"/>
      <c r="AM51" s="58"/>
      <c r="AN51" s="58"/>
      <c r="AO51" s="58"/>
      <c r="AP51" s="58"/>
      <c r="AQ51" s="58"/>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58"/>
      <c r="AB52" s="58"/>
      <c r="AC52" s="58"/>
      <c r="AD52" s="58"/>
      <c r="AE52" s="58"/>
      <c r="AF52" s="58"/>
      <c r="AG52" s="58"/>
      <c r="AH52" s="58"/>
      <c r="AI52" s="58"/>
      <c r="AJ52" s="58"/>
      <c r="AK52" s="58"/>
      <c r="AL52" s="58"/>
      <c r="AM52" s="58"/>
      <c r="AN52" s="58"/>
      <c r="AO52" s="58"/>
      <c r="AP52" s="58"/>
      <c r="AQ52" s="58"/>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58"/>
      <c r="AB53" s="58"/>
      <c r="AC53" s="58"/>
      <c r="AD53" s="58"/>
      <c r="AE53" s="58"/>
      <c r="AF53" s="58"/>
      <c r="AG53" s="58"/>
      <c r="AH53" s="58"/>
      <c r="AI53" s="58"/>
      <c r="AJ53" s="58"/>
      <c r="AK53" s="58"/>
      <c r="AL53" s="58"/>
      <c r="AM53" s="58"/>
      <c r="AN53" s="58"/>
      <c r="AO53" s="58"/>
      <c r="AP53" s="58"/>
      <c r="AQ53" s="58"/>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58"/>
      <c r="AB54" s="58"/>
      <c r="AC54" s="58"/>
      <c r="AD54" s="58"/>
      <c r="AE54" s="58"/>
      <c r="AF54" s="58"/>
      <c r="AG54" s="58"/>
      <c r="AH54" s="58"/>
      <c r="AI54" s="58"/>
      <c r="AJ54" s="58"/>
      <c r="AK54" s="58"/>
      <c r="AL54" s="58"/>
      <c r="AM54" s="58"/>
      <c r="AN54" s="58"/>
      <c r="AO54" s="58"/>
      <c r="AP54" s="58"/>
      <c r="AQ54" s="58"/>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58"/>
      <c r="AB55" s="58"/>
      <c r="AC55" s="58"/>
      <c r="AD55" s="58"/>
      <c r="AE55" s="58"/>
      <c r="AF55" s="58"/>
      <c r="AG55" s="58"/>
      <c r="AH55" s="58"/>
      <c r="AI55" s="58"/>
      <c r="AJ55" s="58"/>
      <c r="AK55" s="58"/>
      <c r="AL55" s="58"/>
      <c r="AM55" s="58"/>
      <c r="AN55" s="58"/>
      <c r="AO55" s="58"/>
      <c r="AP55" s="58"/>
      <c r="AQ55" s="58"/>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58"/>
      <c r="AB56" s="58"/>
      <c r="AC56" s="58"/>
      <c r="AD56" s="58"/>
      <c r="AE56" s="58"/>
      <c r="AF56" s="58"/>
      <c r="AG56" s="58"/>
      <c r="AH56" s="58"/>
      <c r="AI56" s="58"/>
      <c r="AJ56" s="58"/>
      <c r="AK56" s="58"/>
      <c r="AL56" s="58"/>
      <c r="AM56" s="58"/>
      <c r="AN56" s="58"/>
      <c r="AO56" s="58"/>
      <c r="AP56" s="58"/>
      <c r="AQ56" s="58"/>
    </row>
    <row r="57" customFormat="false" ht="14.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58"/>
      <c r="AB57" s="58"/>
      <c r="AC57" s="58"/>
      <c r="AD57" s="58"/>
      <c r="AE57" s="58"/>
      <c r="AF57" s="58"/>
      <c r="AG57" s="58"/>
      <c r="AH57" s="58"/>
      <c r="AI57" s="58"/>
      <c r="AJ57" s="58"/>
      <c r="AK57" s="58"/>
      <c r="AL57" s="58"/>
      <c r="AM57" s="58"/>
      <c r="AN57" s="58"/>
      <c r="AO57" s="58"/>
      <c r="AP57" s="58"/>
      <c r="AQ57" s="58"/>
    </row>
    <row r="58" customFormat="false" ht="14.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58"/>
      <c r="AB58" s="58"/>
      <c r="AC58" s="58"/>
      <c r="AD58" s="58"/>
      <c r="AE58" s="58"/>
      <c r="AF58" s="58"/>
      <c r="AG58" s="58"/>
      <c r="AH58" s="58"/>
      <c r="AI58" s="58"/>
      <c r="AJ58" s="58"/>
      <c r="AK58" s="58"/>
      <c r="AL58" s="58"/>
      <c r="AM58" s="58"/>
      <c r="AN58" s="58"/>
      <c r="AO58" s="58"/>
      <c r="AP58" s="58"/>
      <c r="AQ58" s="58"/>
    </row>
    <row r="59" customFormat="false" ht="14.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58"/>
      <c r="AB59" s="58"/>
      <c r="AC59" s="58"/>
      <c r="AD59" s="58"/>
      <c r="AE59" s="58"/>
      <c r="AF59" s="58"/>
      <c r="AG59" s="58"/>
      <c r="AH59" s="58"/>
      <c r="AI59" s="58"/>
      <c r="AJ59" s="58"/>
      <c r="AK59" s="58"/>
      <c r="AL59" s="58"/>
      <c r="AM59" s="58"/>
      <c r="AN59" s="58"/>
      <c r="AO59" s="58"/>
      <c r="AP59" s="58"/>
      <c r="AQ59" s="58"/>
    </row>
    <row r="60" customFormat="false" ht="14.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58"/>
      <c r="AB60" s="58"/>
      <c r="AC60" s="58"/>
      <c r="AD60" s="58"/>
      <c r="AE60" s="58"/>
      <c r="AF60" s="58"/>
      <c r="AG60" s="58"/>
      <c r="AH60" s="58"/>
      <c r="AI60" s="58"/>
      <c r="AJ60" s="58"/>
      <c r="AK60" s="58"/>
      <c r="AL60" s="58"/>
      <c r="AM60" s="58"/>
      <c r="AN60" s="58"/>
      <c r="AO60" s="58"/>
      <c r="AP60" s="58"/>
      <c r="AQ60" s="58"/>
    </row>
    <row r="61" customFormat="false" ht="14.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58"/>
      <c r="AB61" s="58"/>
      <c r="AC61" s="58"/>
      <c r="AD61" s="58"/>
      <c r="AE61" s="58"/>
      <c r="AF61" s="58"/>
      <c r="AG61" s="58"/>
      <c r="AH61" s="58"/>
      <c r="AI61" s="58"/>
      <c r="AJ61" s="58"/>
      <c r="AK61" s="58"/>
      <c r="AL61" s="58"/>
      <c r="AM61" s="58"/>
      <c r="AN61" s="58"/>
      <c r="AO61" s="58"/>
      <c r="AP61" s="58"/>
      <c r="AQ61" s="58"/>
    </row>
    <row r="62" customFormat="false" ht="14.4" hidden="false" customHeight="false" outlineLevel="0" collapsed="false">
      <c r="A62" s="1"/>
    </row>
    <row r="63" customFormat="false" ht="14.4" hidden="false" customHeight="false" outlineLevel="0" collapsed="false">
      <c r="A63" s="1"/>
    </row>
    <row r="64" customFormat="false" ht="14.4" hidden="false" customHeight="false" outlineLevel="0" collapsed="false">
      <c r="A64" s="1"/>
    </row>
    <row r="65" customFormat="false" ht="14.4" hidden="false" customHeight="false" outlineLevel="0" collapsed="false">
      <c r="A65" s="1"/>
    </row>
    <row r="66" customFormat="false" ht="14.4" hidden="false" customHeight="false" outlineLevel="0" collapsed="false">
      <c r="A66" s="1"/>
    </row>
    <row r="67" customFormat="false" ht="14.4" hidden="false" customHeight="false" outlineLevel="0" collapsed="false">
      <c r="A67" s="1"/>
    </row>
  </sheetData>
  <mergeCells count="11">
    <mergeCell ref="AB2:AE2"/>
    <mergeCell ref="J11:X11"/>
    <mergeCell ref="S22:T22"/>
    <mergeCell ref="S23:T23"/>
    <mergeCell ref="S24:T24"/>
    <mergeCell ref="S25:T25"/>
    <mergeCell ref="S26:T26"/>
    <mergeCell ref="S27:T27"/>
    <mergeCell ref="S28:T28"/>
    <mergeCell ref="S29:T29"/>
    <mergeCell ref="S30:T30"/>
  </mergeCells>
  <dataValidations count="10">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U17" type="list">
      <formula1>INDIRECT("YNTable[Type]")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70"/>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M20" activeCellId="0" sqref="M20"/>
    </sheetView>
  </sheetViews>
  <sheetFormatPr defaultColWidth="8.58984375" defaultRowHeight="14.4" zeroHeight="false" outlineLevelRow="0" outlineLevelCol="0"/>
  <cols>
    <col collapsed="false" customWidth="true" hidden="false" outlineLevel="0" max="1" min="1" style="0" width="8.67"/>
    <col collapsed="false" customWidth="true" hidden="false" outlineLevel="0" max="2" min="2" style="0" width="9.66"/>
    <col collapsed="false" customWidth="true" hidden="false" outlineLevel="0" max="8" min="4" style="0" width="12.66"/>
    <col collapsed="false" customWidth="true" hidden="false" outlineLevel="0" max="10" min="10" style="0" width="10.65"/>
    <col collapsed="false" customWidth="true" hidden="false" outlineLevel="0" max="11" min="11" style="0" width="10"/>
    <col collapsed="false" customWidth="true" hidden="false" outlineLevel="0" max="13" min="12" style="0" width="8.89"/>
    <col collapsed="false" customWidth="true" hidden="false" outlineLevel="0" max="15" min="15" style="0" width="8.89"/>
  </cols>
  <sheetData>
    <row r="1" customFormat="false" ht="14.4"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customFormat="false" ht="14.4" hidden="false" customHeight="false" outlineLevel="0" collapsed="false">
      <c r="A2" s="1"/>
      <c r="B2" s="56" t="s">
        <v>114</v>
      </c>
      <c r="C2" s="15" t="s">
        <v>305</v>
      </c>
      <c r="D2" s="57" t="s">
        <v>116</v>
      </c>
      <c r="E2" s="57" t="s">
        <v>117</v>
      </c>
      <c r="F2" s="57" t="s">
        <v>244</v>
      </c>
      <c r="G2" s="57" t="s">
        <v>245</v>
      </c>
      <c r="H2" s="57" t="s">
        <v>246</v>
      </c>
      <c r="I2" s="1"/>
      <c r="J2" s="1"/>
      <c r="K2" s="16"/>
      <c r="L2" s="16"/>
      <c r="M2" s="16"/>
      <c r="N2" s="16"/>
      <c r="O2" s="16"/>
      <c r="P2" s="16"/>
      <c r="Q2" s="16"/>
      <c r="R2" s="16"/>
      <c r="S2" s="16"/>
      <c r="T2" s="16"/>
      <c r="U2" s="16"/>
      <c r="V2" s="16"/>
      <c r="W2" s="1"/>
      <c r="X2" s="1"/>
      <c r="Y2" s="1"/>
      <c r="Z2" s="1"/>
      <c r="AA2" s="131" t="s">
        <v>119</v>
      </c>
      <c r="AB2" s="131"/>
      <c r="AC2" s="131"/>
      <c r="AD2" s="131"/>
      <c r="AE2" s="1"/>
      <c r="AF2" s="1"/>
      <c r="AG2" s="1"/>
      <c r="AH2" s="1"/>
      <c r="AI2" s="1"/>
    </row>
    <row r="3" customFormat="false" ht="14.4" hidden="false" customHeight="false" outlineLevel="0" collapsed="false">
      <c r="A3" s="1"/>
      <c r="B3" s="20" t="s">
        <v>96</v>
      </c>
      <c r="C3" s="60" t="str">
        <f aca="false">IFERROR(INDEX(SType[],MATCH(C4,SType[Ship],0),COLUMN(SType[Type])),0)</f>
        <v>Battleship</v>
      </c>
      <c r="D3" s="56" t="s">
        <v>247</v>
      </c>
      <c r="E3" s="56" t="s">
        <v>120</v>
      </c>
      <c r="F3" s="56" t="s">
        <v>114</v>
      </c>
      <c r="G3" s="56" t="s">
        <v>248</v>
      </c>
      <c r="H3" s="56" t="s">
        <v>50</v>
      </c>
      <c r="I3" s="1"/>
      <c r="J3" s="1"/>
      <c r="K3" s="61" t="str">
        <f aca="false">C2</f>
        <v>Ise Kai</v>
      </c>
      <c r="L3" s="62"/>
      <c r="M3" s="63" t="s">
        <v>122</v>
      </c>
      <c r="N3" s="63" t="s">
        <v>123</v>
      </c>
      <c r="O3" s="64"/>
      <c r="P3" s="63" t="s">
        <v>306</v>
      </c>
      <c r="Q3" s="64"/>
      <c r="R3" s="63" t="s">
        <v>307</v>
      </c>
      <c r="S3" s="63" t="s">
        <v>127</v>
      </c>
      <c r="T3" s="30"/>
      <c r="U3" s="63" t="s">
        <v>308</v>
      </c>
      <c r="V3" s="30"/>
      <c r="W3" s="63" t="s">
        <v>129</v>
      </c>
      <c r="X3" s="30"/>
      <c r="Y3" s="30"/>
      <c r="Z3" s="1"/>
      <c r="AA3" s="132" t="s">
        <v>130</v>
      </c>
      <c r="AB3" s="132" t="s">
        <v>131</v>
      </c>
      <c r="AC3" s="132" t="s">
        <v>107</v>
      </c>
      <c r="AD3" s="27"/>
      <c r="AE3" s="1"/>
      <c r="AF3" s="1"/>
      <c r="AG3" s="1"/>
      <c r="AH3" s="1"/>
      <c r="AI3" s="1"/>
    </row>
    <row r="4" customFormat="false" ht="14.4" hidden="false" customHeight="false" outlineLevel="0" collapsed="false">
      <c r="A4" s="1"/>
      <c r="B4" s="20" t="s">
        <v>97</v>
      </c>
      <c r="C4" s="60" t="str">
        <f aca="false">IFERROR(INDEX(Base[],MATCH(C2,Base[Akashi],0),COLUMN(Base[AR])),0)</f>
        <v>BB</v>
      </c>
      <c r="D4" s="15" t="s">
        <v>256</v>
      </c>
      <c r="E4" s="15" t="s">
        <v>256</v>
      </c>
      <c r="F4" s="15" t="s">
        <v>309</v>
      </c>
      <c r="G4" s="15" t="s">
        <v>310</v>
      </c>
      <c r="H4" s="15" t="s">
        <v>135</v>
      </c>
      <c r="I4" s="1"/>
      <c r="J4" s="1"/>
      <c r="K4" s="67"/>
      <c r="L4" s="68" t="s">
        <v>138</v>
      </c>
      <c r="M4" s="69" t="n">
        <f aca="false">SUM(C35:G35)+SUM(J29:P29)+SUM($J$43:$P$43)+SUM($J$44:$P$44)+$C$38+(C29*$V$17+E29*$V$18+(IF(NOT($Q$23=0),J34,0)+IF(NOT($Q$24=0),L34,0)+IF(NOT($Q$25=0),N34,0)+IF(NOT($Q$26=0),P34,0))/$V$12)</f>
        <v>1093.29404158226</v>
      </c>
      <c r="N4" s="70" t="n">
        <f aca="false">(SUM(C35:G35)+SUM(J29:P29)+(C29*$V$17+E29*$V$18+IF(NOT($Q$23=0),J34,0)+IF(NOT($Q$24=0),L34,0)+IF(NOT($Q$25=0),N34,0)+IF(NOT($Q$26=0),P34,0))/$V$12)*$R$8+SUM($J$43:$P$43)+SUM($J$44:$P$44)+$C$38</f>
        <v>1093.29404158226</v>
      </c>
      <c r="O4" s="64"/>
      <c r="P4" s="70" t="n">
        <f aca="false">E35+V18*E29/V12</f>
        <v>178.109003290664</v>
      </c>
      <c r="Q4" s="64"/>
      <c r="R4" s="70" t="n">
        <f aca="false">C35+$C$38+C29*$V$17/$V$12</f>
        <v>736.133659322145</v>
      </c>
      <c r="S4" s="71" t="n">
        <f aca="false">(C29+$C$32)*FLOOR($V$12/$O$9,1)*$R$8+C29*$V$17</f>
        <v>41049.9856200443</v>
      </c>
      <c r="T4" s="64"/>
      <c r="U4" s="71" t="n">
        <f aca="false">(E29)*FLOOR($V$12/IF(B2="BB",$AD$17,$AD$19),1)*$R$8+E29*$V$18</f>
        <v>12750.7356566524</v>
      </c>
      <c r="V4" s="30"/>
      <c r="W4" s="70" t="n">
        <f aca="false">((J29+$J$39+$J$40)*FLOOR($V$12/IF($P$23=0,$M$9,$P$23),1)*IF($P$23=0,$M$9,$P$23)+(L29+$L$39+$L$40)*FLOOR($V$12/IF($P$24=0,$M$9,$P$24),1)*IF($P$24=0,$M$9,$P$24)+(N29+$N$39+$N$40)*FLOOR($V$12/IF($P$25=0,$M$9,$P$25),1)*IF($P$25=0,$M$9,$P$25)+(P29+$P$39+$P$40)*FLOOR($V$12/IF($P$26=0,$M$9,$P$26),1)*IF($P$26=0,$M$9,$P$26)+(IF(NOT($Q$23=0),J34,0)+IF(NOT($Q$24=0),L34,0)+IF(NOT($Q$25=0),N34,0)+IF(NOT($Q$26=0),P34,0)))*$R$8</f>
        <v>10254.5598931807</v>
      </c>
      <c r="X4" s="30"/>
      <c r="Y4" s="30"/>
      <c r="Z4" s="1"/>
      <c r="AA4" s="132" t="s">
        <v>96</v>
      </c>
      <c r="AB4" s="132" t="str">
        <f aca="true">IFERROR(INDEX(INDIRECT(F3&amp;"Table"),MATCH(F4,INDIRECT(F3&amp;"Table"&amp;"[Name]"),0),COLUMN(INDIRECT(F3&amp;"Table"&amp;"[Ammo]"))),0)</f>
        <v>HE</v>
      </c>
      <c r="AC4" s="132" t="n">
        <f aca="true">IFERROR(INDEX(INDIRECT(G3&amp;"Table"),MATCH(G4,INDIRECT(G3&amp;"Table"&amp;"[Name]"),0),COLUMN(INDIRECT(G3&amp;"Table"&amp;"[Ammo]"))),0)</f>
        <v>0</v>
      </c>
      <c r="AD4" s="27"/>
      <c r="AE4" s="1"/>
      <c r="AF4" s="1"/>
      <c r="AG4" s="1"/>
      <c r="AH4" s="1"/>
      <c r="AI4" s="1"/>
    </row>
    <row r="5" customFormat="false" ht="14.4" hidden="false" customHeight="false" outlineLevel="0" collapsed="false">
      <c r="A5" s="1"/>
      <c r="B5" s="20" t="s">
        <v>96</v>
      </c>
      <c r="C5" s="72"/>
      <c r="D5" s="72"/>
      <c r="E5" s="72"/>
      <c r="F5" s="72" t="str">
        <f aca="true">IFERROR(INDEX(INDIRECT(C3&amp;"Table"),MATCH(C2,INDIRECT(C3&amp;"Table"&amp;"[Name]"),0),COLUMN(INDIRECT(C3&amp;"Table"&amp;"["&amp;B5&amp;"1"&amp;"]"))),0)</f>
        <v>N/A</v>
      </c>
      <c r="G5" s="72" t="str">
        <f aca="true">IFERROR(INDEX(INDIRECT(C3&amp;"Table"),MATCH(C2,INDIRECT(C3&amp;"Table"&amp;"[Name]"),0),COLUMN(INDIRECT(C3&amp;"Table"&amp;"["&amp;B5&amp;"2"&amp;"]"))),0)</f>
        <v>B</v>
      </c>
      <c r="H5" s="72" t="str">
        <f aca="true">IF(C2="Shirakami Fubuki", "B", IFERROR(INDEX(INDIRECT(C3&amp;"Table"),MATCH(C2,INDIRECT(C3&amp;"Table"&amp;"[Name]"),0),COLUMN(INDIRECT(C3&amp;"Table"&amp;"["&amp;B5&amp;"3"&amp;"]"))),0))</f>
        <v>N/A</v>
      </c>
      <c r="I5" s="1"/>
      <c r="J5" s="1"/>
      <c r="K5" s="67"/>
      <c r="L5" s="68" t="s">
        <v>140</v>
      </c>
      <c r="M5" s="69" t="n">
        <f aca="false">SUM(C36:G36)+SUM(J30:P30)+SUM($J$43:$P$43)+SUM($J$44:$P$44)+$C$38+(C30*$V$17+E30*$V$18+(IF(NOT($Q$23=0),J35,0)+IF(NOT($Q$24=0),L35,0)+IF(NOT($Q$25=0),N35,0)+IF(NOT($Q$26=0),P35,0))/$V$12)</f>
        <v>1032.31298521723</v>
      </c>
      <c r="N5" s="70" t="n">
        <f aca="false">(SUM(C36:G36)+SUM(J30:P30)+(C30*$V$17+E30*$V$18+IF(NOT($Q$23=0),J35,0)+IF(NOT($Q$24=0),L35,0)+IF(NOT($Q$25=0),N35,0)+IF(NOT($Q$26=0),P35,0))/$V$12)*$R$8+SUM($J$43:$P$43)+SUM($J$44:$P$44)+$C$38</f>
        <v>1032.31298521723</v>
      </c>
      <c r="O5" s="64"/>
      <c r="P5" s="70" t="n">
        <f aca="false">E36+V18*E30/V12</f>
        <v>200.372628701996</v>
      </c>
      <c r="Q5" s="64"/>
      <c r="R5" s="70" t="n">
        <f aca="false">C36+$C$38+C30*$V$17/$V$12</f>
        <v>629.47683177593</v>
      </c>
      <c r="S5" s="71" t="n">
        <f aca="false">(C30+$C$32)*FLOOR($V$12/$O$9,1)*$R$8+C30*$V$17</f>
        <v>35102.3412193205</v>
      </c>
      <c r="T5" s="64"/>
      <c r="U5" s="71" t="n">
        <f aca="false">(E30)*FLOOR($V$12/IF(B2="BB",$AD$17,$AD$19),1)*$R$8+E30*$V$18</f>
        <v>14344.5776137339</v>
      </c>
      <c r="V5" s="30"/>
      <c r="W5" s="70" t="n">
        <f aca="false">((J30+$J$39+$J$40)*FLOOR($V$12/IF($P$23=0,$M$9,$P$23),1)*IF($P$23=0,$M$9,$P$23)+(L30+$L$39+$L$40)*FLOOR($V$12/IF($P$24=0,$M$9,$P$24),1)*IF($P$24=0,$M$9,$P$24)+(N30+$N$39+$N$40)*FLOOR($V$12/IF($P$25=0,$M$9,$P$25),1)*IF($P$25=0,$M$9,$P$25)+(P30+$P$39+$P$40)*FLOOR($V$12/IF($P$26=0,$M$9,$P$26),1)*IF($P$26=0,$M$9,$P$26)+(IF(NOT($Q$23=0),J35,0)+IF(NOT($Q$24=0),L35,0)+IF(NOT($Q$25=0),N35,0)+IF(NOT($Q$26=0),P35,0)))*$R$8</f>
        <v>11595.4110634239</v>
      </c>
      <c r="X5" s="30"/>
      <c r="Y5" s="30"/>
      <c r="Z5" s="1"/>
      <c r="AA5" s="132" t="s">
        <v>138</v>
      </c>
      <c r="AB5" s="27" t="n">
        <f aca="true">IF(C2="Kawakaze",1.15,IF(C2="Massachusetts",0.6,IFERROR(INDEX(INDIRECT(F3&amp;"Coef"),MATCH(AB4,INDIRECT(F3&amp;"Coef"&amp;"[Ammo]"),0),COLUMN(INDIRECT(F3&amp;"Coef"&amp;"["&amp;AA5&amp;"]"))),0)))</f>
        <v>1.4</v>
      </c>
      <c r="AC5" s="27" t="n">
        <f aca="true">IF(C2="Kawakaze",1.15,IF(C2="Massachusetts",0.6,IFERROR(INDEX(INDIRECT(G3&amp;"Coef"),MATCH(AC4,INDIRECT(G3&amp;"Coef"&amp;"[Ammo]"),0),COLUMN(INDIRECT(G3&amp;"Coef"&amp;"["&amp;AA5&amp;"]"))),0)))</f>
        <v>0</v>
      </c>
      <c r="AD5" s="27"/>
      <c r="AE5" s="1"/>
      <c r="AF5" s="1"/>
      <c r="AG5" s="1"/>
      <c r="AH5" s="1"/>
      <c r="AI5" s="1"/>
    </row>
    <row r="6" customFormat="false" ht="14.4" hidden="false" customHeight="false" outlineLevel="0" collapsed="false">
      <c r="A6" s="1"/>
      <c r="B6" s="20" t="s">
        <v>260</v>
      </c>
      <c r="C6" s="72" t="n">
        <v>0</v>
      </c>
      <c r="D6" s="72" t="n">
        <v>0</v>
      </c>
      <c r="E6" s="72" t="n">
        <v>0</v>
      </c>
      <c r="F6" s="72" t="n">
        <f aca="true">IFERROR(INDEX(INDIRECT(C3&amp;"Table"),MATCH(C2,INDIRECT(C3&amp;"Table"&amp;"[Name]"),0),COLUMN(INDIRECT(C3&amp;"Table"&amp;"["&amp;"Plane1"&amp;"]"))),0)</f>
        <v>0</v>
      </c>
      <c r="G6" s="72" t="n">
        <f aca="true">IFERROR(INDEX(INDIRECT(C3&amp;"Table"),MATCH(C2,INDIRECT(C3&amp;"Table"&amp;"[Name]"),0),COLUMN(INDIRECT(C3&amp;"Table"&amp;"["&amp;"Plane2"&amp;"]"))),0)</f>
        <v>3</v>
      </c>
      <c r="H6" s="72" t="n">
        <f aca="true">IFERROR(INDEX(INDIRECT(C3&amp;"Table"),MATCH(C2,INDIRECT(C3&amp;"Table"&amp;"[Name]"),0),COLUMN(INDIRECT(C3&amp;"Table"&amp;"["&amp;"Plane3"&amp;"]"))),0)*IF(H5="N/A",0)+IF(C2="Shirakami Fubuki",2,0)</f>
        <v>0</v>
      </c>
      <c r="I6" s="1"/>
      <c r="J6" s="1"/>
      <c r="K6" s="67"/>
      <c r="L6" s="68" t="s">
        <v>142</v>
      </c>
      <c r="M6" s="69" t="n">
        <f aca="false">SUM(C37:G37)+SUM(J31:P31)+SUM($J$43:$P$43)+SUM($J$44:$P$44)+$C$38+(C31*$V$17+E31*$V$18+(IF(NOT($Q$23=0),J36,0)+IF(NOT($Q$24=0),L36,0)+IF(NOT($Q$25=0),N36,0)+IF(NOT($Q$26=0),P36,0))/$V$12)</f>
        <v>1045.41853519132</v>
      </c>
      <c r="N6" s="70" t="n">
        <f aca="false">(SUM(C37:G37)+SUM(J31:P31)+(C31*$V$17+E31*$V$18+IF(NOT($Q$23=0),J36,0)+IF(NOT($Q$24=0),L36,0)+IF(NOT($Q$25=0),N36,0)+IF(NOT($Q$26=0),P36,0))/$V$12)*$R$8+SUM($J$43:$P$43)+SUM($J$44:$P$44)+$C$38</f>
        <v>1045.41853519132</v>
      </c>
      <c r="O6" s="64"/>
      <c r="P6" s="70" t="n">
        <f aca="false">E37+V18*E31/V12</f>
        <v>244.899879524662</v>
      </c>
      <c r="Q6" s="64"/>
      <c r="R6" s="70" t="n">
        <f aca="false">C37+$C$38+C31*$V$17/$V$12</f>
        <v>558.372280078454</v>
      </c>
      <c r="S6" s="71" t="n">
        <f aca="false">(C31+$C$32)*FLOOR($V$12/$O$9,1)*$R$8+C31*$V$17</f>
        <v>31137.2449521713</v>
      </c>
      <c r="T6" s="64"/>
      <c r="U6" s="71" t="n">
        <f aca="false">(E31)*FLOOR($V$12/IF(B2="BB",$AD$17,$AD$19),1)*$R$8+E31*$V$18</f>
        <v>17532.261527897</v>
      </c>
      <c r="V6" s="30"/>
      <c r="W6" s="70" t="n">
        <f aca="false">((J31+$J$39+$J$40)*FLOOR($V$12/IF($P$23=0,$M$9,$P$23),1)*IF($P$23=0,$M$9,$P$23)+(L31+$L$39+$L$40)*FLOOR($V$12/IF($P$24=0,$M$9,$P$24),1)*IF($P$24=0,$M$9,$P$24)+(N31+$N$39+$N$40)*FLOOR($V$12/IF($P$25=0,$M$9,$P$25),1)*IF($P$25=0,$M$9,$P$25)+(P31+$P$39+$P$40)*FLOOR($V$12/IF($P$26=0,$M$9,$P$26),1)*IF($P$26=0,$M$9,$P$26)+(IF(NOT($Q$23=0),J36,0)+IF(NOT($Q$24=0),L36,0)+IF(NOT($Q$25=0),N36,0)+IF(NOT($Q$26=0),P36,0)))*$R$8</f>
        <v>13868.111631855</v>
      </c>
      <c r="X6" s="30"/>
      <c r="Y6" s="30"/>
      <c r="Z6" s="1"/>
      <c r="AA6" s="132" t="s">
        <v>140</v>
      </c>
      <c r="AB6" s="27" t="n">
        <f aca="true">IF(C2="Kawakaze",1.15,IF(C2="Massachusetts",1.35,IFERROR(INDEX(INDIRECT(F3&amp;"Coef"),MATCH(AB4,INDIRECT(F3&amp;"Coef"&amp;"[Ammo]"),0),COLUMN(INDIRECT(F3&amp;"Coef"&amp;"["&amp;AA6&amp;"]"))),0)))</f>
        <v>1.1</v>
      </c>
      <c r="AC6" s="27" t="n">
        <f aca="true">IF(C2="Kawakaze",1.15,IF(C2="Massachusetts",0.6,IFERROR(INDEX(INDIRECT(G3&amp;"Coef"),MATCH(AC4,INDIRECT(G3&amp;"Coef"&amp;"[Ammo]"),0),COLUMN(INDIRECT(G3&amp;"Coef"&amp;"["&amp;AA6&amp;"]"))),0)))</f>
        <v>0</v>
      </c>
      <c r="AD6" s="27"/>
      <c r="AE6" s="1"/>
      <c r="AF6" s="1"/>
      <c r="AG6" s="1"/>
      <c r="AH6" s="1"/>
      <c r="AI6" s="1"/>
    </row>
    <row r="7" customFormat="false" ht="14.4" hidden="false" customHeight="false" outlineLevel="0" collapsed="false">
      <c r="A7" s="1"/>
      <c r="B7" s="20" t="s">
        <v>45</v>
      </c>
      <c r="C7" s="72" t="n">
        <f aca="true">IFERROR(INDEX(INDIRECT(C3&amp;"Table"),MATCH(C2,INDIRECT(C3&amp;"Table"&amp;"[Name]"),0),COLUMN(INDIRECT(C3&amp;"Table"&amp;"["&amp;B7&amp;"]"))),0)</f>
        <v>7243</v>
      </c>
      <c r="D7" s="72" t="n">
        <f aca="true">IFERROR(INDEX(INDIRECT(D3&amp;"Table"),MATCH(D4,INDIRECT(D3&amp;"Table"&amp;"[Name]"),0),COLUMN(INDIRECT(D3&amp;"Table"&amp;"["&amp;B7&amp;"]"))),0)</f>
        <v>75</v>
      </c>
      <c r="E7" s="72" t="n">
        <f aca="true">IFERROR(INDEX(INDIRECT(E3&amp;"Table"),MATCH(E4,INDIRECT(E3&amp;"Table"&amp;"[Name]"),0),COLUMN(INDIRECT(E3&amp;"Table"&amp;"["&amp;B7&amp;"]"))),0)</f>
        <v>75</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1"/>
      <c r="J7" s="1"/>
      <c r="K7" s="67"/>
      <c r="L7" s="67"/>
      <c r="M7" s="64"/>
      <c r="N7" s="64"/>
      <c r="O7" s="64"/>
      <c r="P7" s="64"/>
      <c r="Q7" s="64"/>
      <c r="R7" s="64"/>
      <c r="S7" s="64"/>
      <c r="T7" s="64"/>
      <c r="U7" s="30"/>
      <c r="V7" s="30"/>
      <c r="W7" s="30"/>
      <c r="X7" s="30"/>
      <c r="Y7" s="30"/>
      <c r="Z7" s="1"/>
      <c r="AA7" s="132" t="s">
        <v>142</v>
      </c>
      <c r="AB7" s="27" t="n">
        <f aca="true">IF(C2="Kawakaze",1.15,IF(C2="Massachusetts",1.15,IFERROR(INDEX(INDIRECT(F3&amp;"Coef"),MATCH(AB4,INDIRECT(F3&amp;"Coef"&amp;"[Ammo]"),0),COLUMN(INDIRECT(F3&amp;"Coef"&amp;"["&amp;AA7&amp;"]"))),0)))</f>
        <v>0.9</v>
      </c>
      <c r="AC7" s="27" t="n">
        <f aca="true">IF(C2="Kawakaze",1.15,IF(C2="Massachusetts",0.6,IFERROR(INDEX(INDIRECT(G3&amp;"Coef"),MATCH(AC4,INDIRECT(G3&amp;"Coef"&amp;"[Ammo]"),0),COLUMN(INDIRECT(G3&amp;"Coef"&amp;"["&amp;AA7&amp;"]"))),0)))</f>
        <v>0</v>
      </c>
      <c r="AD7" s="27"/>
      <c r="AE7" s="1"/>
      <c r="AF7" s="1"/>
      <c r="AG7" s="1"/>
      <c r="AH7" s="1"/>
      <c r="AI7" s="1"/>
    </row>
    <row r="8" customFormat="false" ht="14.4" hidden="false" customHeight="false" outlineLevel="0" collapsed="false">
      <c r="A8" s="1"/>
      <c r="B8" s="20" t="s">
        <v>262</v>
      </c>
      <c r="C8" s="72" t="n">
        <f aca="true">IFERROR(INDEX(INDIRECT(C3&amp;"Table"),MATCH(C2,INDIRECT(C3&amp;"Table"&amp;"[Name]"),0),COLUMN(INDIRECT(C3&amp;"Table"&amp;"["&amp;B8&amp;"]"))),0)</f>
        <v>275</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0</v>
      </c>
      <c r="G8" s="72" t="n">
        <f aca="true">IFERROR(INDEX(INDIRECT(G3&amp;"Table"),MATCH(G4,INDIRECT(G3&amp;"Table"&amp;"[Name]"),0),COLUMN(INDIRECT(G3&amp;"Table"&amp;"["&amp;B8&amp;"]"))),0)</f>
        <v>25</v>
      </c>
      <c r="H8" s="72" t="n">
        <f aca="true">IFERROR(INDEX(INDIRECT(H3&amp;"Table"),MATCH(H4,INDIRECT(H3&amp;"Table"&amp;"[Name]"),0),COLUMN(INDIRECT(H3&amp;"Table"&amp;"["&amp;B8&amp;"]"))),0)*IF(H5="N/A",0,1)</f>
        <v>0</v>
      </c>
      <c r="I8" s="1"/>
      <c r="J8" s="1"/>
      <c r="K8" s="67" t="s">
        <v>144</v>
      </c>
      <c r="L8" s="68"/>
      <c r="M8" s="76" t="n">
        <f aca="false">AD26</f>
        <v>73930</v>
      </c>
      <c r="N8" s="67" t="s">
        <v>259</v>
      </c>
      <c r="O8" s="76" t="n">
        <f aca="false">G19</f>
        <v>120</v>
      </c>
      <c r="P8" s="67" t="s">
        <v>311</v>
      </c>
      <c r="Q8" s="72"/>
      <c r="R8" s="121" t="n">
        <f aca="false">AD28</f>
        <v>1</v>
      </c>
      <c r="S8" s="27" t="str">
        <f aca="false">F4</f>
        <v>2x410mm Purple</v>
      </c>
      <c r="T8" s="72"/>
      <c r="U8" s="72" t="str">
        <f aca="false">H4</f>
        <v>2x40mm STAAG</v>
      </c>
      <c r="V8" s="27"/>
      <c r="W8" s="27"/>
      <c r="X8" s="30"/>
      <c r="Y8" s="30"/>
      <c r="Z8" s="1"/>
      <c r="AA8" s="27"/>
      <c r="AB8" s="27"/>
      <c r="AC8" s="27"/>
      <c r="AD8" s="27"/>
      <c r="AE8" s="1"/>
      <c r="AF8" s="1"/>
      <c r="AG8" s="1"/>
      <c r="AH8" s="1"/>
      <c r="AI8" s="1"/>
    </row>
    <row r="9" customFormat="false" ht="14.4" hidden="false" customHeight="false" outlineLevel="0" collapsed="false">
      <c r="A9" s="1"/>
      <c r="B9" s="20" t="s">
        <v>98</v>
      </c>
      <c r="C9" s="72" t="n">
        <f aca="true">IFERROR(INDEX(INDIRECT(C3&amp;"Table"),MATCH(C2,INDIRECT(C3&amp;"Table"&amp;"[Name]"),0),COLUMN(INDIRECT(C3&amp;"Table"&amp;"["&amp;B9&amp;"]"))),0)</f>
        <v>389</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25</v>
      </c>
      <c r="G9" s="72" t="n">
        <f aca="true">IFERROR(INDEX(INDIRECT(G3&amp;"Table"),MATCH(G4,INDIRECT(G3&amp;"Table"&amp;"[Name]"),0),COLUMN(INDIRECT(G3&amp;"Table"&amp;"["&amp;B9&amp;"]"))),0)</f>
        <v>0</v>
      </c>
      <c r="H9" s="72" t="n">
        <f aca="true">IFERROR(INDEX(INDIRECT(H3&amp;"Table"),MATCH(H4,INDIRECT(H3&amp;"Table"&amp;"[Name]"),0),COLUMN(INDIRECT(H3&amp;"Table"&amp;"["&amp;B9&amp;"]"))),0)*IF(H5="N/A",0,1)</f>
        <v>0</v>
      </c>
      <c r="I9" s="1"/>
      <c r="J9" s="1"/>
      <c r="K9" s="67" t="s">
        <v>312</v>
      </c>
      <c r="L9" s="68"/>
      <c r="M9" s="76" t="n">
        <f aca="false">AD17</f>
        <v>28.6358026176676</v>
      </c>
      <c r="N9" s="67" t="s">
        <v>313</v>
      </c>
      <c r="O9" s="76" t="n">
        <f aca="false">AD18</f>
        <v>18.5881033515229</v>
      </c>
      <c r="P9" s="67" t="s">
        <v>314</v>
      </c>
      <c r="Q9" s="72"/>
      <c r="R9" s="121" t="n">
        <f aca="false">AD31</f>
        <v>0.1</v>
      </c>
      <c r="S9" s="44" t="str">
        <f aca="false">G4</f>
        <v>Zuiun</v>
      </c>
      <c r="T9" s="72"/>
      <c r="U9" s="72" t="str">
        <f aca="false">E4</f>
        <v>Steam Catapult</v>
      </c>
      <c r="V9" s="27"/>
      <c r="W9" s="27" t="str">
        <f aca="false">D4</f>
        <v>Steam Catapult</v>
      </c>
      <c r="X9" s="30"/>
      <c r="Y9" s="30"/>
      <c r="Z9" s="1"/>
      <c r="AA9" s="27"/>
      <c r="AB9" s="132" t="s">
        <v>244</v>
      </c>
      <c r="AC9" s="132" t="s">
        <v>245</v>
      </c>
      <c r="AD9" s="132" t="s">
        <v>245</v>
      </c>
      <c r="AE9" s="1"/>
      <c r="AF9" s="1"/>
      <c r="AG9" s="1"/>
      <c r="AH9" s="1"/>
      <c r="AI9" s="1"/>
    </row>
    <row r="10" customFormat="false" ht="14.4" hidden="false" customHeight="false" outlineLevel="0" collapsed="false">
      <c r="A10" s="1"/>
      <c r="B10" s="20" t="s">
        <v>99</v>
      </c>
      <c r="C10" s="72" t="n">
        <f aca="true">IFERROR(INDEX(INDIRECT(C3&amp;"Table"),MATCH(C2,INDIRECT(C3&amp;"Table"&amp;"[Name]"),0),COLUMN(INDIRECT(C3&amp;"Table"&amp;"["&amp;B10&amp;"]"))),0)</f>
        <v>0</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IFERROR(INDEX(INDIRECT(H3&amp;"Table"),MATCH(H4,INDIRECT(H3&amp;"Table"&amp;"[Name]"),0),COLUMN(INDIRECT(H3&amp;"Table"&amp;"["&amp;B10&amp;"]"))),0)*IF(H5="N/A",0,1)</f>
        <v>0</v>
      </c>
      <c r="I10" s="1"/>
      <c r="J10" s="1"/>
      <c r="K10" s="1"/>
      <c r="L10" s="1"/>
      <c r="M10" s="1"/>
      <c r="N10" s="1"/>
      <c r="O10" s="1"/>
      <c r="P10" s="1"/>
      <c r="Q10" s="1"/>
      <c r="R10" s="1"/>
      <c r="S10" s="1"/>
      <c r="T10" s="1"/>
      <c r="U10" s="1"/>
      <c r="V10" s="16"/>
      <c r="W10" s="1"/>
      <c r="X10" s="1"/>
      <c r="Y10" s="1"/>
      <c r="Z10" s="1"/>
      <c r="AA10" s="132" t="s">
        <v>261</v>
      </c>
      <c r="AB10" s="27" t="n">
        <f aca="false">IFERROR(INDEX(IF(F3="TB",TorpedoDamage[],IF(V14="Y",BombDamageEmpirical[],BombDamage[])),MATCH(F4,IF(F3="TB",TorpedoDamage[Name],IF(V14="Y",BombDamageEmpirical[Name],BombDamage[Name])),0),COLUMN(IF(F3="TB",TorpedoDamage[Light],IF(V14="Y",BombDamageEmpirical[Light],BombDamage[Light])))),0)</f>
        <v>0</v>
      </c>
      <c r="AC10" s="27" t="n">
        <f aca="false">IFERROR(INDEX(IF(G3="TB",TorpedoDamage[],IF(V14="Y",BombDamageEmpirical[],BombDamage[])),MATCH(G4,IF(G3="TB",TorpedoDamage[Name],IF(V14="Y",BombDamageEmpirical[Name],BombDamage[Name])),0),COLUMN(IF(G3="TB",TorpedoDamage[Light],IF(V14="Y",BombDamageEmpirical[Light],BombDamage[Light])))),0)</f>
        <v>288</v>
      </c>
      <c r="AD10" s="27" t="n">
        <f aca="false">IFERROR(INDEX(IF(H3="TB",TorpedoDamage[],IF(V14="Y",BombDamageEmpirical[],BombDamage[])),MATCH(H4,IF(H3="TB",TorpedoDamage[Name],IF(V14="Y",BombDamageEmpirical[Name],BombDamage[Name])),0),COLUMN(IF(H3="TB",TorpedoDamage[Light],IF(V14="Y",BombDamageEmpirical[Light],BombDamage[Light])))),0)</f>
        <v>0</v>
      </c>
      <c r="AE10" s="1"/>
      <c r="AF10" s="1"/>
      <c r="AG10" s="1"/>
      <c r="AH10" s="1"/>
      <c r="AI10" s="1"/>
    </row>
    <row r="11" customFormat="false" ht="14.4" hidden="false" customHeight="false" outlineLevel="0" collapsed="false">
      <c r="A11" s="1"/>
      <c r="B11" s="20" t="s">
        <v>151</v>
      </c>
      <c r="C11" s="72" t="n">
        <f aca="true">IFERROR(INDEX(INDIRECT(C3&amp;"Table"),MATCH(C2,INDIRECT(C3&amp;"Table"&amp;"[Name]"),0),COLUMN(INDIRECT(C3&amp;"Table"&amp;"["&amp;"EFF"&amp;"]"))),0)</f>
        <v>1.8</v>
      </c>
      <c r="D11" s="72" t="n">
        <v>0</v>
      </c>
      <c r="E11" s="72" t="n">
        <v>0</v>
      </c>
      <c r="F11" s="72" t="n">
        <f aca="true">IFERROR(INDEX(INDIRECT(F3&amp;"Table"),MATCH(F4,INDIRECT(F3&amp;"Table"&amp;"[Name]"),0),COLUMN(INDIRECT(F3&amp;"Table"&amp;"["&amp;B11&amp;"]"))),0)</f>
        <v>1.1</v>
      </c>
      <c r="G11" s="72" t="n">
        <f aca="true">IFERROR(INDEX(INDIRECT(C3&amp;"Table"),MATCH(C2,INDIRECT(C3&amp;"Table"&amp;"[Name]"),0),COLUMN(INDIRECT(C3&amp;"Table"&amp;"["&amp;"SECEFF"&amp;"]"))),0)</f>
        <v>1.8</v>
      </c>
      <c r="H11" s="72" t="n">
        <f aca="true">IFERROR(INDEX(INDIRECT(C3&amp;"Table"),MATCH(C2,INDIRECT(C3&amp;"Table"&amp;"[Name]"),0),COLUMN(INDIRECT(C3&amp;"Table"&amp;"["&amp;"TRIEFF"&amp;"]"))),0)*IF(H5="N/A",0,1)</f>
        <v>0</v>
      </c>
      <c r="I11" s="1"/>
      <c r="J11" s="1"/>
      <c r="K11" s="13" t="s">
        <v>315</v>
      </c>
      <c r="L11" s="13"/>
      <c r="M11" s="13"/>
      <c r="N11" s="13"/>
      <c r="O11" s="13"/>
      <c r="P11" s="13"/>
      <c r="Q11" s="13"/>
      <c r="R11" s="13"/>
      <c r="S11" s="13"/>
      <c r="T11" s="13"/>
      <c r="U11" s="13"/>
      <c r="V11" s="16"/>
      <c r="W11" s="1"/>
      <c r="X11" s="1"/>
      <c r="Y11" s="1"/>
      <c r="Z11" s="1"/>
      <c r="AA11" s="132" t="s">
        <v>264</v>
      </c>
      <c r="AB11" s="27" t="n">
        <f aca="false">IFERROR(INDEX(IF(F3="TB",TorpedoDamage[],IF(V14="Y",BombDamageEmpirical[],BombDamage[])),MATCH(F4,IF(F3="TB",TorpedoDamage[Name],IF(V14="Y",BombDamageEmpirical[Name],BombDamage[Name])),0),COLUMN(IF(F3="TB",TorpedoDamage[Medium],IF(V14="Y",BombDamageEmpirical[Medium],BombDamage[Medium])))),0)</f>
        <v>0</v>
      </c>
      <c r="AC11" s="27" t="n">
        <f aca="false">IFERROR(INDEX(IF(G3="TB",TorpedoDamage[],IF(V14="Y",BombDamageEmpirical[],BombDamage[])),MATCH(G4,IF(G3="TB",TorpedoDamage[Name],IF(V14="Y",BombDamageEmpirical[Name],BombDamage[Name])),0),COLUMN(IF(G3="TB",TorpedoDamage[Medium],IF(V14="Y",BombDamageEmpirical[Medium],BombDamage[Medium])))),0)</f>
        <v>324</v>
      </c>
      <c r="AD11" s="27" t="n">
        <f aca="false">IFERROR(INDEX(IF(H3="TB",TorpedoDamage[],IF(V14="Y",BombDamageEmpirical[],BombDamage[])),MATCH(H4,IF(H3="TB",TorpedoDamage[Name],IF(V14="Y",BombDamageEmpirical[Name],BombDamage[Name])),0),COLUMN(IF(H3="TB",TorpedoDamage[Medium],IF(V14="Y",BombDamageEmpirical[Medium],BombDamage[Medium])))),0)</f>
        <v>0</v>
      </c>
      <c r="AE11" s="1"/>
      <c r="AF11" s="1"/>
      <c r="AG11" s="1"/>
      <c r="AH11" s="1"/>
      <c r="AI11" s="1"/>
    </row>
    <row r="12" customFormat="false" ht="14.4" hidden="false" customHeight="false" outlineLevel="0" collapsed="false">
      <c r="A12" s="1"/>
      <c r="B12" s="20" t="s">
        <v>100</v>
      </c>
      <c r="C12" s="72" t="n">
        <f aca="true">IFERROR(INDEX(INDIRECT(C3&amp;"Table"),MATCH(C2,INDIRECT(C3&amp;"Table"&amp;"[Name]"),0),COLUMN(INDIRECT(C3&amp;"Table"&amp;"["&amp;B12&amp;"]"))),0)</f>
        <v>132</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IFERROR(INDEX(INDIRECT(H3&amp;"Table"),MATCH(H4,INDIRECT(H3&amp;"Table"&amp;"[Name]"),0),COLUMN(INDIRECT(H3&amp;"Table"&amp;"["&amp;B12&amp;"]"))),0)*IF(H5="N/A",0,1)</f>
        <v>0</v>
      </c>
      <c r="I12" s="1"/>
      <c r="J12" s="1"/>
      <c r="K12" s="17" t="s">
        <v>194</v>
      </c>
      <c r="L12" s="14"/>
      <c r="M12" s="89" t="n">
        <v>0.1</v>
      </c>
      <c r="N12" s="17" t="s">
        <v>159</v>
      </c>
      <c r="O12" s="14"/>
      <c r="P12" s="89" t="n">
        <v>2</v>
      </c>
      <c r="Q12" s="17" t="s">
        <v>176</v>
      </c>
      <c r="R12" s="14"/>
      <c r="S12" s="89" t="n">
        <v>0.08</v>
      </c>
      <c r="T12" s="17" t="s">
        <v>88</v>
      </c>
      <c r="U12" s="14"/>
      <c r="V12" s="89" t="n">
        <v>60</v>
      </c>
      <c r="W12" s="103"/>
      <c r="X12" s="103"/>
      <c r="Y12" s="86"/>
      <c r="Z12" s="1"/>
      <c r="AA12" s="132" t="s">
        <v>266</v>
      </c>
      <c r="AB12" s="27" t="n">
        <f aca="false">IFERROR(INDEX(IF(F3="TB",TorpedoDamage[],IF(V14="Y",BombDamageEmpirical[],BombDamage[])),MATCH(F4,IF(F3="TB",TorpedoDamage[Name],IF(V14="Y",BombDamageEmpirical[Name],BombDamage[Name])),0),COLUMN(IF(F3="TB",TorpedoDamage[Heavy],IF(V14="Y",BombDamageEmpirical[Heavy],BombDamage[Heavy])))),0)</f>
        <v>0</v>
      </c>
      <c r="AC12" s="27" t="n">
        <f aca="false">IFERROR(INDEX(IF(G3="TB",TorpedoDamage[],IF(V14="Y",BombDamageEmpirical[],BombDamage[])),MATCH(G4,IF(G3="TB",TorpedoDamage[Name],IF(V14="Y",BombDamageEmpirical[Name],BombDamage[Name])),0),COLUMN(IF(G3="TB",TorpedoDamage[Heavy],IF(V14="Y",BombDamageEmpirical[Heavy],BombDamage[Heavy])))),0)</f>
        <v>396</v>
      </c>
      <c r="AD12" s="27" t="n">
        <f aca="false">IFERROR(INDEX(IF(H3="TB",TorpedoDamage[],IF(V14="Y",BombDamageEmpirical[],BombDamage[])),MATCH(H4,IF(H3="TB",TorpedoDamage[Name],IF(V14="Y",BombDamageEmpirical[Name],BombDamage[Name])),0),COLUMN(IF(H3="TB",TorpedoDamage[Heavy],IF(V14="Y",BombDamageEmpirical[Heavy],BombDamage[Heavy])))),0)</f>
        <v>0</v>
      </c>
      <c r="AE12" s="1"/>
      <c r="AF12" s="1"/>
      <c r="AG12" s="1"/>
      <c r="AH12" s="1"/>
      <c r="AI12" s="1"/>
    </row>
    <row r="13" customFormat="false" ht="14.4" hidden="false" customHeight="false" outlineLevel="0" collapsed="false">
      <c r="A13" s="1"/>
      <c r="B13" s="20" t="s">
        <v>46</v>
      </c>
      <c r="C13" s="72" t="n">
        <f aca="true">IFERROR(INDEX(INDIRECT(C3&amp;"Table"),MATCH(C2,INDIRECT(C3&amp;"Table"&amp;"[Name]"),0),COLUMN(INDIRECT(C3&amp;"Table"&amp;"["&amp;B13&amp;"]"))),0)</f>
        <v>31</v>
      </c>
      <c r="D13" s="72" t="n">
        <f aca="true">IFERROR(INDEX(INDIRECT(D3&amp;"Table"),MATCH(D4,INDIRECT(D3&amp;"Table"&amp;"[Name]"),0),COLUMN(INDIRECT(D3&amp;"Table"&amp;"["&amp;B13&amp;"]"))),0)</f>
        <v>0</v>
      </c>
      <c r="E13" s="72" t="n">
        <f aca="true">IFERROR(INDEX(INDIRECT(E3&amp;"Table"),MATCH(E4,INDIRECT(E3&amp;"Table"&amp;"[Name]"),0),COLUMN(INDIRECT(E3&amp;"Table"&amp;"["&amp;B13&amp;"]"))),0)</f>
        <v>0</v>
      </c>
      <c r="F13" s="72" t="n">
        <f aca="true">IFERROR(INDEX(INDIRECT(F3&amp;"Table"),MATCH(F4,INDIRECT(F3&amp;"Table"&amp;"[Name]"),0),COLUMN(INDIRECT(F3&amp;"Table"&amp;"["&amp;B13&amp;"]"))),0)</f>
        <v>0</v>
      </c>
      <c r="G13" s="72" t="n">
        <f aca="true">IFERROR(INDEX(INDIRECT(G3&amp;"Table"),MATCH(G4,INDIRECT(G3&amp;"Table"&amp;"[Name]"),0),COLUMN(INDIRECT(G3&amp;"Table"&amp;"["&amp;B13&amp;"]"))),0)</f>
        <v>0</v>
      </c>
      <c r="H13" s="72" t="n">
        <f aca="true">IFERROR(INDEX(INDIRECT(H3&amp;"Table"),MATCH(H4,INDIRECT(H3&amp;"Table"&amp;"[Name]"),0),COLUMN(INDIRECT(H3&amp;"Table"&amp;"["&amp;B13&amp;"]"))),0)*IF(H5="N/A",0,1)</f>
        <v>0</v>
      </c>
      <c r="I13" s="1"/>
      <c r="J13" s="1"/>
      <c r="K13" s="17" t="s">
        <v>271</v>
      </c>
      <c r="L13" s="14"/>
      <c r="M13" s="81" t="n">
        <v>0</v>
      </c>
      <c r="N13" s="17" t="s">
        <v>70</v>
      </c>
      <c r="O13" s="14"/>
      <c r="P13" s="89" t="n">
        <v>0</v>
      </c>
      <c r="Q13" s="17" t="s">
        <v>182</v>
      </c>
      <c r="R13" s="14"/>
      <c r="S13" s="81" t="n">
        <v>0.2</v>
      </c>
      <c r="T13" s="103"/>
      <c r="U13" s="103"/>
      <c r="V13" s="81"/>
      <c r="W13" s="103"/>
      <c r="X13" s="103"/>
      <c r="Y13" s="86"/>
      <c r="Z13" s="1"/>
      <c r="AA13" s="132" t="s">
        <v>268</v>
      </c>
      <c r="AB13" s="27" t="n">
        <f aca="false">F6*4</f>
        <v>0</v>
      </c>
      <c r="AC13" s="27" t="n">
        <f aca="false">G6*4</f>
        <v>12</v>
      </c>
      <c r="AD13" s="27" t="n">
        <f aca="false">H6*4</f>
        <v>0</v>
      </c>
      <c r="AE13" s="1"/>
      <c r="AF13" s="1"/>
      <c r="AG13" s="1"/>
      <c r="AH13" s="1"/>
      <c r="AI13" s="1"/>
    </row>
    <row r="14" customFormat="false" ht="14.4" hidden="false" customHeight="false" outlineLevel="0" collapsed="false">
      <c r="A14" s="1"/>
      <c r="B14" s="20" t="s">
        <v>52</v>
      </c>
      <c r="C14" s="72" t="n">
        <f aca="true">IFERROR(INDEX(INDIRECT(C3&amp;"Table"),MATCH(C2,INDIRECT(C3&amp;"Table"&amp;"[Name]"),0),COLUMN(INDIRECT(C3&amp;"Table"&amp;"["&amp;B14&amp;"]"))),0)</f>
        <v>60</v>
      </c>
      <c r="D14" s="72" t="n">
        <f aca="true">IFERROR(INDEX(INDIRECT(D3&amp;"Table"),MATCH(D4,INDIRECT(D3&amp;"Table"&amp;"[Name]"),0),COLUMN(INDIRECT(D3&amp;"Table"&amp;"["&amp;B14&amp;"]"))),0)</f>
        <v>0</v>
      </c>
      <c r="E14" s="72" t="n">
        <f aca="true">IFERROR(INDEX(INDIRECT(E3&amp;"Table"),MATCH(E4,INDIRECT(E3&amp;"Table"&amp;"[Name]"),0),COLUMN(INDIRECT(E3&amp;"Table"&amp;"["&amp;B14&amp;"]"))),0)</f>
        <v>0</v>
      </c>
      <c r="F14" s="72" t="n">
        <f aca="true">IFERROR(INDEX(INDIRECT(F3&amp;"Table"),MATCH(F4,INDIRECT(F3&amp;"Table"&amp;"[Name]"),0),COLUMN(INDIRECT(F3&amp;"Table"&amp;"["&amp;B14&amp;"]"))),0)</f>
        <v>0</v>
      </c>
      <c r="G14" s="72" t="n">
        <f aca="true">IFERROR(INDEX(INDIRECT(G3&amp;"Table"),MATCH(G4,INDIRECT(G3&amp;"Table"&amp;"[Name]"),0),COLUMN(INDIRECT(G3&amp;"Table"&amp;"["&amp;B14&amp;"]"))),0)</f>
        <v>0</v>
      </c>
      <c r="H14" s="72" t="n">
        <f aca="true">IFERROR(INDEX(INDIRECT(H3&amp;"Table"),MATCH(H4,INDIRECT(H3&amp;"Table"&amp;"[Name]"),0),COLUMN(INDIRECT(H3&amp;"Table"&amp;"["&amp;B14&amp;"]"))),0)*IF(H5="N/A",0,1)</f>
        <v>0</v>
      </c>
      <c r="I14" s="1"/>
      <c r="J14" s="1"/>
      <c r="K14" s="17"/>
      <c r="L14" s="14"/>
      <c r="M14" s="81"/>
      <c r="N14" s="17" t="s">
        <v>64</v>
      </c>
      <c r="O14" s="14"/>
      <c r="P14" s="89" t="n">
        <v>0</v>
      </c>
      <c r="Q14" s="17"/>
      <c r="R14" s="14"/>
      <c r="S14" s="81"/>
      <c r="T14" s="17" t="s">
        <v>282</v>
      </c>
      <c r="U14" s="14"/>
      <c r="V14" s="133" t="s">
        <v>217</v>
      </c>
      <c r="W14" s="103"/>
      <c r="X14" s="103"/>
      <c r="Y14" s="86"/>
      <c r="Z14" s="1"/>
      <c r="AA14" s="132"/>
      <c r="AB14" s="27"/>
      <c r="AC14" s="27"/>
      <c r="AD14" s="27"/>
      <c r="AE14" s="1"/>
      <c r="AF14" s="1"/>
      <c r="AG14" s="1"/>
      <c r="AH14" s="1"/>
      <c r="AI14" s="1"/>
    </row>
    <row r="15" customFormat="false" ht="14.4" hidden="false" customHeight="false" outlineLevel="0" collapsed="false">
      <c r="A15" s="1"/>
      <c r="B15" s="20" t="s">
        <v>101</v>
      </c>
      <c r="C15" s="72" t="n">
        <f aca="true">IFERROR(INDEX(INDIRECT(C3&amp;"Table"),MATCH(C2,INDIRECT(C3&amp;"Table"&amp;"[Name]"),0),COLUMN(INDIRECT(C3&amp;"Table"&amp;"["&amp;B15&amp;"]"))),0)</f>
        <v>87</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10</v>
      </c>
      <c r="I15" s="1"/>
      <c r="J15" s="1"/>
      <c r="K15" s="17" t="s">
        <v>279</v>
      </c>
      <c r="L15" s="14"/>
      <c r="M15" s="81" t="n">
        <v>0</v>
      </c>
      <c r="N15" s="17" t="s">
        <v>185</v>
      </c>
      <c r="O15" s="14"/>
      <c r="P15" s="89" t="n">
        <v>0</v>
      </c>
      <c r="Q15" s="17" t="s">
        <v>316</v>
      </c>
      <c r="R15" s="14"/>
      <c r="S15" s="125" t="n">
        <v>0</v>
      </c>
      <c r="T15" s="17" t="s">
        <v>283</v>
      </c>
      <c r="U15" s="14"/>
      <c r="V15" s="125"/>
      <c r="W15" s="103"/>
      <c r="X15" s="103"/>
      <c r="Y15" s="86"/>
      <c r="Z15" s="1"/>
      <c r="AA15" s="132" t="s">
        <v>156</v>
      </c>
      <c r="AB15" s="27"/>
      <c r="AC15" s="76"/>
      <c r="AD15" s="27" t="n">
        <f aca="false">IF(AND(F3="BB",AB4="AP"),(1-(1-S13)^(F17*P12))*(S12),0)+1</f>
        <v>1</v>
      </c>
      <c r="AE15" s="1"/>
      <c r="AF15" s="1"/>
      <c r="AG15" s="1"/>
      <c r="AH15" s="1"/>
      <c r="AI15" s="1"/>
    </row>
    <row r="16" customFormat="false" ht="14.4" hidden="false" customHeight="false" outlineLevel="0" collapsed="false">
      <c r="A16" s="1"/>
      <c r="B16" s="20" t="s">
        <v>157</v>
      </c>
      <c r="C16" s="72" t="n">
        <v>0</v>
      </c>
      <c r="D16" s="72" t="n">
        <v>0</v>
      </c>
      <c r="E16" s="72" t="n">
        <v>0</v>
      </c>
      <c r="F16" s="72" t="n">
        <f aca="true">IFERROR(INDEX(INDIRECT(F3&amp;"Table"),MATCH(F4,INDIRECT(F3&amp;"Table"&amp;"[Name]"),0),COLUMN(INDIRECT(F3&amp;"Table"&amp;"["&amp;B16&amp;"]"))),0)</f>
        <v>154</v>
      </c>
      <c r="G16" s="72" t="n">
        <f aca="true">IFERROR(INDEX(INDIRECT(G3&amp;"Table"),MATCH(G4,INDIRECT(G3&amp;"Table"&amp;"[Name]"),0),COLUMN(INDIRECT(G3&amp;"Table"&amp;"["&amp;B16&amp;"]"))),0)</f>
        <v>0</v>
      </c>
      <c r="H16" s="72" t="n">
        <f aca="true">IFERROR(INDEX(INDIRECT(H3&amp;"Table"),MATCH(H4,INDIRECT(H3&amp;"Table"&amp;"[Name]"),0),COLUMN(INDIRECT(H3&amp;"Table"&amp;"["&amp;B16&amp;"]"))),0)*IF(H5="N/A",0,1)</f>
        <v>0</v>
      </c>
      <c r="I16" s="1"/>
      <c r="J16" s="1"/>
      <c r="K16" s="17" t="s">
        <v>169</v>
      </c>
      <c r="L16" s="14"/>
      <c r="M16" s="81" t="n">
        <v>0.5</v>
      </c>
      <c r="N16" s="17" t="s">
        <v>278</v>
      </c>
      <c r="O16" s="14"/>
      <c r="P16" s="81" t="n">
        <v>0</v>
      </c>
      <c r="Q16" s="17" t="s">
        <v>317</v>
      </c>
      <c r="R16" s="14"/>
      <c r="S16" s="81" t="n">
        <v>1</v>
      </c>
      <c r="T16" s="103"/>
      <c r="U16" s="103"/>
      <c r="V16" s="81"/>
      <c r="W16" s="103"/>
      <c r="X16" s="103"/>
      <c r="Y16" s="86"/>
      <c r="Z16" s="1"/>
      <c r="AA16" s="132"/>
      <c r="AB16" s="27"/>
      <c r="AC16" s="27"/>
      <c r="AD16" s="27"/>
      <c r="AE16" s="1"/>
      <c r="AF16" s="1"/>
      <c r="AG16" s="1"/>
      <c r="AH16" s="1"/>
      <c r="AI16" s="1"/>
    </row>
    <row r="17" customFormat="false" ht="14.4" hidden="false" customHeight="false" outlineLevel="0" collapsed="false">
      <c r="A17" s="1"/>
      <c r="B17" s="20" t="s">
        <v>163</v>
      </c>
      <c r="C17" s="72" t="n">
        <v>0</v>
      </c>
      <c r="D17" s="72" t="n">
        <v>0</v>
      </c>
      <c r="E17" s="72" t="n">
        <v>0</v>
      </c>
      <c r="F17" s="72" t="n">
        <f aca="true">IFERROR(INDEX(INDIRECT(F3&amp;"Table"),MATCH(F4,INDIRECT(F3&amp;"Table"&amp;"[Name]"),0),COLUMN(INDIRECT(F3&amp;"Table"&amp;"["&amp;B17&amp;"]"))),0)</f>
        <v>2</v>
      </c>
      <c r="G17" s="72" t="n">
        <f aca="true">IFERROR(INDEX(INDIRECT(G3&amp;"Table"),MATCH(G4,INDIRECT(G3&amp;"Table"&amp;"[Name]"),0),COLUMN(INDIRECT(G3&amp;"Table"&amp;"["&amp;B17&amp;"]"))),0)</f>
        <v>0</v>
      </c>
      <c r="H17" s="72" t="n">
        <f aca="true">IFERROR(INDEX(INDIRECT(H3&amp;"Table"),MATCH(H4,INDIRECT(H3&amp;"Table"&amp;"[Name]"),0),COLUMN(INDIRECT(H3&amp;"Table"&amp;"["&amp;B17&amp;"]"))),0)*IF(H5="N/A",0,1)</f>
        <v>0</v>
      </c>
      <c r="I17" s="1"/>
      <c r="J17" s="1"/>
      <c r="K17" s="103"/>
      <c r="L17" s="103"/>
      <c r="M17" s="84"/>
      <c r="N17" s="17" t="s">
        <v>160</v>
      </c>
      <c r="O17" s="14"/>
      <c r="P17" s="81" t="n">
        <v>1</v>
      </c>
      <c r="Q17" s="17" t="s">
        <v>201</v>
      </c>
      <c r="R17" s="14"/>
      <c r="S17" s="89" t="n">
        <v>0</v>
      </c>
      <c r="T17" s="17" t="s">
        <v>318</v>
      </c>
      <c r="U17" s="14"/>
      <c r="V17" s="84" t="n">
        <v>0</v>
      </c>
      <c r="W17" s="103"/>
      <c r="X17" s="103"/>
      <c r="Y17" s="86"/>
      <c r="Z17" s="1"/>
      <c r="AA17" s="132" t="s">
        <v>319</v>
      </c>
      <c r="AB17" s="61"/>
      <c r="AC17" s="76"/>
      <c r="AD17" s="27" t="n">
        <f aca="false">SQRT(200/(100+SUM(C12:H12)*(1+M13)))*2.2*(((F6*F18)+(G6*G18)+(H6*H18))/(SUM(C6:H6)))+M12+IF(C2="Shirakami Fubuki",2,0)</f>
        <v>28.6358026176676</v>
      </c>
      <c r="AE17" s="1"/>
      <c r="AF17" s="1"/>
      <c r="AG17" s="1"/>
      <c r="AH17" s="1"/>
      <c r="AI17" s="1"/>
    </row>
    <row r="18" customFormat="false" ht="14.4" hidden="false" customHeight="false" outlineLevel="0" collapsed="false">
      <c r="A18" s="1"/>
      <c r="B18" s="20" t="s">
        <v>184</v>
      </c>
      <c r="C18" s="72" t="n">
        <v>0</v>
      </c>
      <c r="D18" s="72" t="n">
        <v>0</v>
      </c>
      <c r="E18" s="72" t="n">
        <v>0</v>
      </c>
      <c r="F18" s="72" t="n">
        <f aca="true">IFERROR(INDEX(INDIRECT(F3&amp;"Table"),MATCH(F4,INDIRECT(F3&amp;"Table"&amp;"[Name]"),0),COLUMN(INDIRECT(F3&amp;"Table"&amp;"["&amp;B18&amp;"]"))),0)</f>
        <v>20.02</v>
      </c>
      <c r="G18" s="72" t="n">
        <f aca="true">IFERROR(INDEX(INDIRECT(G3&amp;"Table"),MATCH(G4,INDIRECT(G3&amp;"Table"&amp;"[Name]"),0),COLUMN(INDIRECT(G3&amp;"Table"&amp;"["&amp;B18&amp;"]"))),0)</f>
        <v>13.97</v>
      </c>
      <c r="H18" s="72" t="n">
        <f aca="true">IFERROR(INDEX(INDIRECT(H3&amp;"Table"),MATCH(H4,INDIRECT(H3&amp;"Table"&amp;"[Name]"),0),COLUMN(INDIRECT(H3&amp;"Table"&amp;"["&amp;B18&amp;"]"))),0)*IF(H5="N/A",0,1)</f>
        <v>0</v>
      </c>
      <c r="I18" s="1"/>
      <c r="J18" s="1"/>
      <c r="K18" s="82" t="s">
        <v>284</v>
      </c>
      <c r="L18" s="103"/>
      <c r="M18" s="84" t="n">
        <v>0.6</v>
      </c>
      <c r="N18" s="82" t="s">
        <v>269</v>
      </c>
      <c r="O18" s="14"/>
      <c r="P18" s="86" t="n">
        <v>1</v>
      </c>
      <c r="Q18" s="103"/>
      <c r="R18" s="103"/>
      <c r="S18" s="86"/>
      <c r="T18" s="17" t="s">
        <v>320</v>
      </c>
      <c r="U18" s="14"/>
      <c r="V18" s="84" t="n">
        <v>0</v>
      </c>
      <c r="W18" s="103"/>
      <c r="X18" s="103"/>
      <c r="Y18" s="86"/>
      <c r="Z18" s="1"/>
      <c r="AA18" s="132" t="s">
        <v>321</v>
      </c>
      <c r="AB18" s="61"/>
      <c r="AC18" s="76"/>
      <c r="AD18" s="27" t="n">
        <f aca="false">SQRT(200/(100+SUM(C12:H12)*(1+M13)))*F18</f>
        <v>18.5881033515229</v>
      </c>
      <c r="AE18" s="1"/>
      <c r="AF18" s="1"/>
      <c r="AG18" s="1"/>
      <c r="AH18" s="1"/>
      <c r="AI18" s="1"/>
    </row>
    <row r="19" customFormat="false" ht="14.4" hidden="false" customHeight="false" outlineLevel="0" collapsed="false">
      <c r="A19" s="1"/>
      <c r="B19" s="20" t="s">
        <v>255</v>
      </c>
      <c r="C19" s="72" t="n">
        <f aca="false">SUM(C8:H8)*P18</f>
        <v>500</v>
      </c>
      <c r="D19" s="20" t="s">
        <v>189</v>
      </c>
      <c r="E19" s="72" t="n">
        <f aca="false">SUM(C9:H9)*P17</f>
        <v>414</v>
      </c>
      <c r="F19" s="20" t="s">
        <v>322</v>
      </c>
      <c r="G19" s="72" t="n">
        <f aca="false">FLOOR(2*C19*SUM(AB13:AD13)/100,1)</f>
        <v>120</v>
      </c>
      <c r="H19" s="72"/>
      <c r="I19" s="1"/>
      <c r="J19" s="1"/>
      <c r="K19" s="82" t="s">
        <v>78</v>
      </c>
      <c r="L19" s="30"/>
      <c r="M19" s="86" t="n">
        <f aca="false">IF(OR(AB4="Normal", AB4="Magnetic",AB4="AP",AB4="AP+",AB4="AP++"), 0,IFERROR(INDEX(BurnT[],MATCH(F3,BurnT[Type],0),COLUMN(BurnT[Burn])),0))</f>
        <v>0.5</v>
      </c>
      <c r="N19" s="82" t="s">
        <v>272</v>
      </c>
      <c r="O19" s="14"/>
      <c r="P19" s="86" t="n">
        <v>1</v>
      </c>
      <c r="Q19" s="82" t="s">
        <v>277</v>
      </c>
      <c r="R19" s="14"/>
      <c r="S19" s="86" t="n">
        <v>0</v>
      </c>
      <c r="T19" s="30"/>
      <c r="U19" s="30"/>
      <c r="V19" s="86"/>
      <c r="W19" s="103"/>
      <c r="X19" s="103"/>
      <c r="Y19" s="86"/>
      <c r="Z19" s="1"/>
      <c r="AA19" s="132" t="s">
        <v>323</v>
      </c>
      <c r="AB19" s="61"/>
      <c r="AC19" s="76"/>
      <c r="AD19" s="27" t="n">
        <f aca="false">SQRT(200/(100+SUM(C12:H12)*(1+M13)))*G18</f>
        <v>12.9708193716671</v>
      </c>
      <c r="AE19" s="1"/>
      <c r="AF19" s="1"/>
      <c r="AG19" s="1"/>
      <c r="AH19" s="1"/>
      <c r="AI19" s="1"/>
    </row>
    <row r="20" customFormat="false" ht="14.4" hidden="false" customHeight="false" outlineLevel="0" collapsed="false">
      <c r="A20" s="1"/>
      <c r="B20" s="20" t="s">
        <v>193</v>
      </c>
      <c r="C20" s="72" t="n">
        <f aca="false">SUM(C10:H10)*V20</f>
        <v>0</v>
      </c>
      <c r="D20" s="134"/>
      <c r="E20" s="134"/>
      <c r="F20" s="75"/>
      <c r="G20" s="72"/>
      <c r="H20" s="72"/>
      <c r="I20" s="1"/>
      <c r="J20" s="1"/>
      <c r="K20" s="30"/>
      <c r="L20" s="30"/>
      <c r="M20" s="86"/>
      <c r="N20" s="82" t="s">
        <v>170</v>
      </c>
      <c r="O20" s="14"/>
      <c r="P20" s="86" t="n">
        <v>1</v>
      </c>
      <c r="Q20" s="82" t="s">
        <v>280</v>
      </c>
      <c r="R20" s="14"/>
      <c r="S20" s="86" t="n">
        <v>0</v>
      </c>
      <c r="T20" s="82" t="s">
        <v>166</v>
      </c>
      <c r="U20" s="14"/>
      <c r="V20" s="86" t="n">
        <v>1</v>
      </c>
      <c r="W20" s="103"/>
      <c r="X20" s="103"/>
      <c r="Y20" s="86"/>
      <c r="Z20" s="1"/>
      <c r="AA20" s="61" t="s">
        <v>324</v>
      </c>
      <c r="AB20" s="72"/>
      <c r="AC20" s="76"/>
      <c r="AD20" s="44" t="n">
        <f aca="false">1+(0.05+(SUM(C15:H15)/(SUM(C15:H15)+2000))+((SUM(C14:H14)-P13)/5000)+M15)*M16</f>
        <v>1.05412827849309</v>
      </c>
      <c r="AE20" s="1"/>
      <c r="AF20" s="1"/>
      <c r="AG20" s="1"/>
      <c r="AH20" s="1"/>
      <c r="AI20" s="1"/>
    </row>
    <row r="21" customFormat="false" ht="14.4"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61" t="s">
        <v>188</v>
      </c>
      <c r="AB21" s="72"/>
      <c r="AC21" s="76"/>
      <c r="AD21" s="44" t="n">
        <f aca="false">1+(0.05+((SUM(C15:H15)*P20)/(SUM(C15:H15)*P20+2000+P15))+((SUM(C14:H14)-P13)/5000)+AD24+M15)*(M16+AD23)</f>
        <v>1.05412827849309</v>
      </c>
      <c r="AE21" s="1"/>
      <c r="AF21" s="1"/>
      <c r="AG21" s="1"/>
      <c r="AH21" s="1"/>
      <c r="AI21" s="1"/>
    </row>
    <row r="22" customFormat="false" ht="14.4" hidden="false" customHeight="false" outlineLevel="0" collapsed="false">
      <c r="A22" s="1"/>
      <c r="B22" s="57" t="s">
        <v>206</v>
      </c>
      <c r="C22" s="57"/>
      <c r="D22" s="57" t="s">
        <v>207</v>
      </c>
      <c r="E22" s="57" t="s">
        <v>208</v>
      </c>
      <c r="F22" s="57" t="s">
        <v>209</v>
      </c>
      <c r="G22" s="57" t="s">
        <v>138</v>
      </c>
      <c r="H22" s="57" t="s">
        <v>140</v>
      </c>
      <c r="I22" s="57" t="s">
        <v>142</v>
      </c>
      <c r="J22" s="57" t="s">
        <v>78</v>
      </c>
      <c r="K22" s="57" t="s">
        <v>211</v>
      </c>
      <c r="L22" s="57" t="s">
        <v>96</v>
      </c>
      <c r="M22" s="99" t="s">
        <v>280</v>
      </c>
      <c r="N22" s="99" t="s">
        <v>287</v>
      </c>
      <c r="O22" s="100" t="s">
        <v>214</v>
      </c>
      <c r="P22" s="99" t="s">
        <v>215</v>
      </c>
      <c r="Q22" s="98" t="s">
        <v>216</v>
      </c>
      <c r="R22" s="98"/>
      <c r="S22" s="16"/>
      <c r="T22" s="16"/>
      <c r="U22" s="16"/>
      <c r="V22" s="16"/>
      <c r="W22" s="1"/>
      <c r="X22" s="1"/>
      <c r="Y22" s="1"/>
      <c r="Z22" s="1"/>
      <c r="AA22" s="61" t="s">
        <v>188</v>
      </c>
      <c r="AB22" s="72"/>
      <c r="AC22" s="76"/>
      <c r="AD22" s="27" t="n">
        <f aca="false">1+(0.05+(SUM(C15:H15)/(SUM(C15:H15)+2000))+(SUM(C14:H14)/5000)+M15)*M16</f>
        <v>1.05412827849309</v>
      </c>
      <c r="AE22" s="1"/>
      <c r="AF22" s="1"/>
      <c r="AG22" s="1"/>
      <c r="AH22" s="1"/>
      <c r="AI22" s="1"/>
    </row>
    <row r="23" customFormat="false" ht="14.4" hidden="false" customHeight="false" outlineLevel="0" collapsed="false">
      <c r="A23" s="1"/>
      <c r="B23" s="72" t="str">
        <f aca="true">IFERROR(INDEX(INDIRECT(C3&amp;"Table"),MATCH(C2,INDIRECT(C3&amp;"Table"&amp;"[Name]"),0),COLUMN(INDIRECT(C3&amp;"Table"&amp;"[Barg1]"))),0)</f>
        <v>Aviation Battleship Fleet (1000lb)</v>
      </c>
      <c r="C23" s="72"/>
      <c r="D23" s="72" t="n">
        <f aca="false">IFERROR(INDEX(Barrage[],MATCH(B23,Barrage[Name],0),COLUMN(Barrage[Total Damage])),0)</f>
        <v>664</v>
      </c>
      <c r="E23" s="72" t="n">
        <f aca="false">IFERROR(INDEX(Barrage[],MATCH(B23,Barrage[Name],0),COLUMN(Barrage[Base Damage])),0)</f>
        <v>332</v>
      </c>
      <c r="F23" s="72" t="n">
        <f aca="false">IFERROR(INDEX(Barrage[],MATCH(B23,Barrage[Name],0),COLUMN(Barrage[Total Rounds])),0)</f>
        <v>2</v>
      </c>
      <c r="G23" s="72" t="n">
        <f aca="false">IFERROR(INDEX(Barrage[],MATCH(B23,Barrage[Name],0),COLUMN(Barrage[Light Armor])),0)</f>
        <v>0.8</v>
      </c>
      <c r="H23" s="72" t="n">
        <f aca="false">IFERROR(INDEX(Barrage[],MATCH(B23,Barrage[Name],0),COLUMN(Barrage[Medium Armor])),0)</f>
        <v>0.95</v>
      </c>
      <c r="I23" s="72" t="n">
        <f aca="false">IFERROR(INDEX(Barrage[],MATCH(B23,Barrage[Name],0),COLUMN(Barrage[Heavy Armor])),0)</f>
        <v>1.15</v>
      </c>
      <c r="J23" s="72" t="n">
        <f aca="false">IFERROR(INDEX(Barrage[],MATCH(B23,Barrage[Name],0),COLUMN(Barrage[Burn %])),0)</f>
        <v>0</v>
      </c>
      <c r="K23" s="72" t="n">
        <f aca="false">IFERROR(INDEX(Barrage[],MATCH(B23,Barrage[Name],0),COLUMN(Barrage[Stat Mod])),0)</f>
        <v>0.8</v>
      </c>
      <c r="L23" s="72" t="str">
        <f aca="false">IFERROR(INDEX(Barrage[],MATCH(B23,Barrage[Name],0),COLUMN(Barrage[Type2])),0)</f>
        <v>Airp</v>
      </c>
      <c r="M23" s="103" t="n">
        <v>0</v>
      </c>
      <c r="N23" s="103" t="n">
        <v>0</v>
      </c>
      <c r="O23" s="103" t="n">
        <v>1</v>
      </c>
      <c r="P23" s="104" t="n">
        <v>0</v>
      </c>
      <c r="Q23" s="101" t="n">
        <v>0</v>
      </c>
      <c r="R23" s="101"/>
      <c r="S23" s="16"/>
      <c r="T23" s="16"/>
      <c r="U23" s="16"/>
      <c r="V23" s="16"/>
      <c r="W23" s="1"/>
      <c r="X23" s="1"/>
      <c r="Y23" s="1"/>
      <c r="Z23" s="1"/>
      <c r="AA23" s="61" t="s">
        <v>168</v>
      </c>
      <c r="AB23" s="72"/>
      <c r="AC23" s="76"/>
      <c r="AD23" s="72" t="n">
        <f aca="true">IFERROR(INDEX(INDIRECT(D3&amp;"Table"),MATCH(D4,INDIRECT(D3&amp;"Table"&amp;"[Name]"),0),COLUMN(INDIRECT(D3&amp;"Table"&amp;"[CritDamage]"))),0)+IFERROR(INDEX(INDIRECT(E3&amp;"Table"),MATCH(E4,INDIRECT(E3&amp;"Table"&amp;"[Name]"),0),COLUMN(INDIRECT(E3&amp;"Table"&amp;"[CritDamage]"))),0)</f>
        <v>0</v>
      </c>
      <c r="AE23" s="1"/>
      <c r="AF23" s="1"/>
      <c r="AG23" s="1"/>
      <c r="AH23" s="1"/>
      <c r="AI23" s="1"/>
    </row>
    <row r="24" customFormat="false" ht="14.4" hidden="false" customHeight="false" outlineLevel="0" collapsed="false">
      <c r="A24" s="1"/>
      <c r="B24" s="72" t="str">
        <f aca="true">IFERROR(INDEX(INDIRECT(C3&amp;"Table"),MATCH(C2,INDIRECT(C3&amp;"Table"&amp;"[Name]"),0),COLUMN(INDIRECT(C3&amp;"Table"&amp;"[Barg2]"))),0)</f>
        <v>Aviation Battleship Fleet (100lb)</v>
      </c>
      <c r="C24" s="72"/>
      <c r="D24" s="72" t="n">
        <f aca="false">IFERROR(INDEX(Barrage[],MATCH(B24,Barrage[Name],0),COLUMN(Barrage[Total Damage])),0)</f>
        <v>552</v>
      </c>
      <c r="E24" s="72" t="n">
        <f aca="false">IFERROR(INDEX(Barrage[],MATCH(B24,Barrage[Name],0),COLUMN(Barrage[Base Damage])),0)</f>
        <v>276</v>
      </c>
      <c r="F24" s="72" t="n">
        <f aca="false">IFERROR(INDEX(Barrage[],MATCH(B24,Barrage[Name],0),COLUMN(Barrage[Total Rounds])),0)</f>
        <v>2</v>
      </c>
      <c r="G24" s="72" t="n">
        <f aca="false">IFERROR(INDEX(Barrage[],MATCH(B24,Barrage[Name],0),COLUMN(Barrage[Light Armor])),0)</f>
        <v>0.8</v>
      </c>
      <c r="H24" s="72" t="n">
        <f aca="false">IFERROR(INDEX(Barrage[],MATCH(B24,Barrage[Name],0),COLUMN(Barrage[Medium Armor])),0)</f>
        <v>0.85</v>
      </c>
      <c r="I24" s="72" t="n">
        <f aca="false">IFERROR(INDEX(Barrage[],MATCH(B24,Barrage[Name],0),COLUMN(Barrage[Heavy Armor])),0)</f>
        <v>1</v>
      </c>
      <c r="J24" s="72" t="n">
        <f aca="false">IFERROR(INDEX(Barrage[],MATCH(B24,Barrage[Name],0),COLUMN(Barrage[Burn %])),0)</f>
        <v>0</v>
      </c>
      <c r="K24" s="72" t="n">
        <f aca="false">IFERROR(INDEX(Barrage[],MATCH(B24,Barrage[Name],0),COLUMN(Barrage[Stat Mod])),0)</f>
        <v>0.8</v>
      </c>
      <c r="L24" s="72" t="str">
        <f aca="false">IFERROR(INDEX(Barrage[],MATCH(B24,Barrage[Name],0),COLUMN(Barrage[Type2])),0)</f>
        <v>Airp</v>
      </c>
      <c r="M24" s="103" t="n">
        <v>0</v>
      </c>
      <c r="N24" s="103" t="n">
        <v>0</v>
      </c>
      <c r="O24" s="103" t="n">
        <v>1</v>
      </c>
      <c r="P24" s="104" t="n">
        <v>0</v>
      </c>
      <c r="Q24" s="101" t="n">
        <v>0</v>
      </c>
      <c r="R24" s="101"/>
      <c r="S24" s="16"/>
      <c r="T24" s="16"/>
      <c r="U24" s="16"/>
      <c r="V24" s="16"/>
      <c r="W24" s="1"/>
      <c r="X24" s="1"/>
      <c r="Y24" s="1"/>
      <c r="Z24" s="1"/>
      <c r="AA24" s="61" t="s">
        <v>172</v>
      </c>
      <c r="AB24" s="72"/>
      <c r="AC24" s="76"/>
      <c r="AD24" s="90" t="n">
        <f aca="true">IFERROR(INDEX(INDIRECT(D3&amp;"Table"),MATCH(D4,INDIRECT(D3&amp;"Table"&amp;"[Name]"),0),COLUMN(INDIRECT(D3&amp;"Table"&amp;"[Crit%]"))),0)+IFERROR(INDEX(INDIRECT(E3&amp;"Table"),MATCH(E4,INDIRECT(E3&amp;"Table"&amp;"[Name]"),0),COLUMN(INDIRECT(E3&amp;"Table"&amp;"[Crit%]"))),0)</f>
        <v>0</v>
      </c>
      <c r="AE24" s="1"/>
      <c r="AF24" s="1"/>
      <c r="AG24" s="1"/>
      <c r="AH24" s="1"/>
      <c r="AI24" s="1"/>
    </row>
    <row r="25" customFormat="false" ht="14.4" hidden="false" customHeight="false" outlineLevel="0" collapsed="false">
      <c r="A25" s="1"/>
      <c r="B25" s="72" t="str">
        <f aca="true">IFERROR(INDEX(INDIRECT(C3&amp;"Table"),MATCH(C2,INDIRECT(C3&amp;"Table"&amp;"[Name]"),0),COLUMN(INDIRECT(C3&amp;"Table"&amp;"[Barg3]"))),0)</f>
        <v>N/A</v>
      </c>
      <c r="C25" s="72"/>
      <c r="D25" s="72" t="n">
        <f aca="false">IFERROR(INDEX(Barrage[],MATCH(B25,Barrage[Name],0),COLUMN(Barrage[Total Damage])),0)</f>
        <v>0</v>
      </c>
      <c r="E25" s="72" t="n">
        <f aca="false">IFERROR(INDEX(Barrage[],MATCH(B25,Barrage[Name],0),COLUMN(Barrage[Base Damage])),0)</f>
        <v>0</v>
      </c>
      <c r="F25" s="72" t="n">
        <f aca="false">IFERROR(INDEX(Barrage[],MATCH(B25,Barrage[Name],0),COLUMN(Barrage[Total Rounds])),0)</f>
        <v>0</v>
      </c>
      <c r="G25" s="72" t="n">
        <f aca="false">IFERROR(INDEX(Barrage[],MATCH(B25,Barrage[Name],0),COLUMN(Barrage[Light Armor])),0)</f>
        <v>0</v>
      </c>
      <c r="H25" s="72" t="n">
        <f aca="false">IFERROR(INDEX(Barrage[],MATCH(B25,Barrage[Name],0),COLUMN(Barrage[Medium Armor])),0)</f>
        <v>0</v>
      </c>
      <c r="I25" s="72" t="n">
        <f aca="false">IFERROR(INDEX(Barrage[],MATCH(B25,Barrage[Name],0),COLUMN(Barrage[Heavy Armor])),0)</f>
        <v>0</v>
      </c>
      <c r="J25" s="72" t="n">
        <f aca="false">IFERROR(INDEX(Barrage[],MATCH(B25,Barrage[Name],0),COLUMN(Barrage[Burn %])),0)</f>
        <v>0</v>
      </c>
      <c r="K25" s="72" t="n">
        <f aca="false">IFERROR(INDEX(Barrage[],MATCH(B25,Barrage[Name],0),COLUMN(Barrage[Stat Mod])),0)</f>
        <v>0</v>
      </c>
      <c r="L25" s="72" t="n">
        <f aca="false">IFERROR(INDEX(Barrage[],MATCH(B25,Barrage[Name],0),COLUMN(Barrage[Type2])),0)</f>
        <v>0</v>
      </c>
      <c r="M25" s="103" t="n">
        <v>0</v>
      </c>
      <c r="N25" s="103" t="n">
        <v>0</v>
      </c>
      <c r="O25" s="103" t="n">
        <v>1</v>
      </c>
      <c r="P25" s="104" t="n">
        <v>20</v>
      </c>
      <c r="Q25" s="101" t="n">
        <v>0</v>
      </c>
      <c r="R25" s="101"/>
      <c r="S25" s="16"/>
      <c r="T25" s="16"/>
      <c r="U25" s="16"/>
      <c r="V25" s="16"/>
      <c r="W25" s="1"/>
      <c r="X25" s="1"/>
      <c r="Y25" s="1"/>
      <c r="Z25" s="1"/>
      <c r="AA25" s="61" t="s">
        <v>218</v>
      </c>
      <c r="AB25" s="72"/>
      <c r="AC25" s="76"/>
      <c r="AD25" s="27" t="n">
        <f aca="false">SUM(C7:H7)</f>
        <v>7393</v>
      </c>
      <c r="AE25" s="1"/>
      <c r="AF25" s="1"/>
      <c r="AG25" s="1"/>
      <c r="AH25" s="1"/>
      <c r="AI25" s="1"/>
    </row>
    <row r="26" customFormat="false" ht="14.4" hidden="false" customHeight="false" outlineLevel="0" collapsed="false">
      <c r="A26" s="1"/>
      <c r="B26" s="72" t="str">
        <f aca="true">IFERROR(INDEX(INDIRECT(C3&amp;"Table"),MATCH(C2,INDIRECT(C3&amp;"Table"&amp;"[Name]"),0),COLUMN(INDIRECT(C3&amp;"Table"&amp;"[Barg4]"))),0)</f>
        <v>N/A</v>
      </c>
      <c r="C26" s="72"/>
      <c r="D26" s="72" t="n">
        <f aca="false">IFERROR(INDEX(Barrage[],MATCH(B26,Barrage[Name],0),COLUMN(Barrage[Total Damage])),0)</f>
        <v>0</v>
      </c>
      <c r="E26" s="72" t="n">
        <f aca="false">IFERROR(INDEX(Barrage[],MATCH(B26,Barrage[Name],0),COLUMN(Barrage[Base Damage])),0)</f>
        <v>0</v>
      </c>
      <c r="F26" s="72" t="n">
        <f aca="false">IFERROR(INDEX(Barrage[],MATCH(B26,Barrage[Name],0),COLUMN(Barrage[Total Rounds])),0)</f>
        <v>0</v>
      </c>
      <c r="G26" s="72" t="n">
        <f aca="false">IFERROR(INDEX(Barrage[],MATCH(B26,Barrage[Name],0),COLUMN(Barrage[Light Armor])),0)</f>
        <v>0</v>
      </c>
      <c r="H26" s="72" t="n">
        <f aca="false">IFERROR(INDEX(Barrage[],MATCH(B26,Barrage[Name],0),COLUMN(Barrage[Medium Armor])),0)</f>
        <v>0</v>
      </c>
      <c r="I26" s="72" t="n">
        <f aca="false">IFERROR(INDEX(Barrage[],MATCH(B26,Barrage[Name],0),COLUMN(Barrage[Heavy Armor])),0)</f>
        <v>0</v>
      </c>
      <c r="J26" s="72" t="n">
        <f aca="false">IFERROR(INDEX(Barrage[],MATCH(B26,Barrage[Name],0),COLUMN(Barrage[Burn %])),0)</f>
        <v>0</v>
      </c>
      <c r="K26" s="72" t="n">
        <f aca="false">IFERROR(INDEX(Barrage[],MATCH(B26,Barrage[Name],0),COLUMN(Barrage[Stat Mod])),0)</f>
        <v>0</v>
      </c>
      <c r="L26" s="72" t="n">
        <f aca="false">IFERROR(INDEX(Barrage[],MATCH(B26,Barrage[Name],0),COLUMN(Barrage[Type2])),0)</f>
        <v>0</v>
      </c>
      <c r="M26" s="103" t="n">
        <v>0</v>
      </c>
      <c r="N26" s="103" t="n">
        <v>0</v>
      </c>
      <c r="O26" s="103" t="n">
        <v>1</v>
      </c>
      <c r="P26" s="104" t="n">
        <v>20</v>
      </c>
      <c r="Q26" s="101" t="n">
        <v>0</v>
      </c>
      <c r="R26" s="101"/>
      <c r="S26" s="16"/>
      <c r="T26" s="16"/>
      <c r="U26" s="16"/>
      <c r="V26" s="16"/>
      <c r="W26" s="1"/>
      <c r="X26" s="1"/>
      <c r="Y26" s="1"/>
      <c r="Z26" s="1"/>
      <c r="AA26" s="61" t="s">
        <v>219</v>
      </c>
      <c r="AB26" s="72"/>
      <c r="AC26" s="76"/>
      <c r="AD26" s="27" t="n">
        <f aca="false">AD25/(AD31*(1-S17))</f>
        <v>73930</v>
      </c>
      <c r="AE26" s="1"/>
      <c r="AF26" s="1"/>
      <c r="AG26" s="1"/>
      <c r="AH26" s="1"/>
      <c r="AI26" s="1"/>
    </row>
    <row r="27" customFormat="false" ht="14.4" hidden="false" customHeight="false" outlineLevel="0" collapsed="false">
      <c r="A27" s="1"/>
      <c r="B27" s="11"/>
      <c r="C27" s="11"/>
      <c r="D27" s="11"/>
      <c r="E27" s="11"/>
      <c r="F27" s="11"/>
      <c r="G27" s="11"/>
      <c r="H27" s="11"/>
      <c r="I27" s="11"/>
      <c r="J27" s="11"/>
      <c r="K27" s="11"/>
      <c r="L27" s="11"/>
      <c r="M27" s="11"/>
      <c r="N27" s="11"/>
      <c r="O27" s="11"/>
      <c r="P27" s="11"/>
      <c r="Q27" s="11"/>
      <c r="R27" s="11"/>
      <c r="S27" s="16"/>
      <c r="T27" s="16"/>
      <c r="U27" s="16"/>
      <c r="V27" s="16"/>
      <c r="W27" s="1"/>
      <c r="X27" s="1"/>
      <c r="Y27" s="1"/>
      <c r="Z27" s="1"/>
      <c r="AA27" s="61" t="s">
        <v>220</v>
      </c>
      <c r="AB27" s="72"/>
      <c r="AC27" s="76"/>
      <c r="AD27" s="44" t="n">
        <f aca="false">0.1+(SUM(C15:H15)/(SUM(C15:H15)+2+P15))+((SUM(C14:H14)-P13)/1000)</f>
        <v>1.13979797979798</v>
      </c>
      <c r="AE27" s="1"/>
      <c r="AF27" s="1"/>
      <c r="AG27" s="1"/>
      <c r="AH27" s="1"/>
      <c r="AI27" s="1"/>
    </row>
    <row r="28" customFormat="false" ht="14.4" hidden="false" customHeight="false" outlineLevel="0" collapsed="false">
      <c r="A28" s="1"/>
      <c r="B28" s="63"/>
      <c r="C28" s="63" t="s">
        <v>244</v>
      </c>
      <c r="D28" s="63"/>
      <c r="E28" s="63" t="s">
        <v>245</v>
      </c>
      <c r="F28" s="63"/>
      <c r="G28" s="63" t="s">
        <v>246</v>
      </c>
      <c r="H28" s="11"/>
      <c r="I28" s="132" t="s">
        <v>228</v>
      </c>
      <c r="J28" s="132" t="s">
        <v>293</v>
      </c>
      <c r="K28" s="132"/>
      <c r="L28" s="132" t="s">
        <v>294</v>
      </c>
      <c r="M28" s="132"/>
      <c r="N28" s="132" t="s">
        <v>295</v>
      </c>
      <c r="O28" s="132"/>
      <c r="P28" s="132" t="s">
        <v>296</v>
      </c>
      <c r="Q28" s="11"/>
      <c r="R28" s="11"/>
      <c r="S28" s="16"/>
      <c r="T28" s="16"/>
      <c r="U28" s="16"/>
      <c r="V28" s="16"/>
      <c r="W28" s="1"/>
      <c r="X28" s="1"/>
      <c r="Y28" s="1"/>
      <c r="Z28" s="1"/>
      <c r="AA28" s="61" t="s">
        <v>221</v>
      </c>
      <c r="AB28" s="72"/>
      <c r="AC28" s="76"/>
      <c r="AD28" s="44" t="n">
        <f aca="false">IF(AD27&lt;=0.1, 0.1, IF(AD27&gt;=1, 1, AD27))</f>
        <v>1</v>
      </c>
      <c r="AE28" s="1"/>
      <c r="AF28" s="1"/>
      <c r="AG28" s="1"/>
      <c r="AH28" s="1"/>
      <c r="AI28" s="1"/>
    </row>
    <row r="29" customFormat="false" ht="14.4" hidden="false" customHeight="false" outlineLevel="0" collapsed="false">
      <c r="A29" s="1"/>
      <c r="B29" s="63" t="s">
        <v>138</v>
      </c>
      <c r="C29" s="70" t="n">
        <f aca="false">((100+$E$19)/100)*$AD$21*$P$19*$P$12*$F$11*$F$16*$F$17*$C$11*AB5*IF(F5="N/A",1,1-P16)</f>
        <v>9251.89129001477</v>
      </c>
      <c r="D29" s="70"/>
      <c r="E29" s="70" t="n">
        <f aca="false">((100+C19*IF(G5="T",P18,0.8*P18))/100)*AC10*AD20*P19*G6*AB5*IF(G5="N/A",1,1-P16)+((100+C20*V20)/100)*G11*1*G16*G17*AC5*AD20</f>
        <v>6375.36782832618</v>
      </c>
      <c r="F29" s="27"/>
      <c r="G29" s="70" t="n">
        <f aca="false">((100+C19*IF(H5="T",P18,0.8*P18))/100)*AD10*AD20*P19*H6*AB5*IF(H5="N/A",1,1-P16)</f>
        <v>0</v>
      </c>
      <c r="H29" s="11"/>
      <c r="I29" s="63" t="s">
        <v>138</v>
      </c>
      <c r="J29" s="70" t="n">
        <f aca="false">(D23*G23*((100+IF(L23="AirP",C19,IF(L23="FP",E19,C20))*K23)/100)/IF(P23=0,AD17,P23)*AD20*O23)*P19*IF(L23="Airp",(1-P16),1)</f>
        <v>97.7714766741076</v>
      </c>
      <c r="K29" s="70"/>
      <c r="L29" s="70" t="n">
        <f aca="false">(D24*G24*((100+IF(L24="AirP",C19,E19)*K24)/100)/IF(P24=0,AD17,P24)*AD20*O24)*P19*IF(L24="Airp",(1-P16),1)</f>
        <v>81.2799022953425</v>
      </c>
      <c r="M29" s="27"/>
      <c r="N29" s="70" t="n">
        <f aca="false">(D25*G25*((100+IF(L25="AirP",C19,E19)*K25)/100)/IF(P25=0,AD17,P25)*AD20*O25)*P19*(1-P16)</f>
        <v>0</v>
      </c>
      <c r="O29" s="70"/>
      <c r="P29" s="70" t="n">
        <f aca="false">(D26*G26*((100+IF(L26="AirP",C19,E19)*K26)/100)/IF(P26=0,AD17,P26)*AD20*O26)*P19*(1-P16)</f>
        <v>0</v>
      </c>
      <c r="Q29" s="11"/>
      <c r="R29" s="11"/>
      <c r="S29" s="16"/>
      <c r="T29" s="16"/>
      <c r="U29" s="16"/>
      <c r="V29" s="16"/>
      <c r="W29" s="1"/>
      <c r="X29" s="1"/>
      <c r="Y29" s="1"/>
      <c r="Z29" s="1"/>
      <c r="AA29" s="61"/>
      <c r="AB29" s="72"/>
      <c r="AC29" s="72"/>
      <c r="AD29" s="72"/>
      <c r="AE29" s="1"/>
      <c r="AF29" s="1"/>
      <c r="AG29" s="1"/>
      <c r="AH29" s="1"/>
      <c r="AI29" s="1"/>
    </row>
    <row r="30" customFormat="false" ht="14.4" hidden="false" customHeight="false" outlineLevel="0" collapsed="false">
      <c r="A30" s="1"/>
      <c r="B30" s="63" t="s">
        <v>140</v>
      </c>
      <c r="C30" s="70" t="n">
        <f aca="false">((100+$E$19)/100)*$AD$21*$P$19*$P$12*$F$11*$F$16*$F$17*$C$11*AB6*IF(F5="N/A",1,1-P16)</f>
        <v>7269.34315644017</v>
      </c>
      <c r="D30" s="70"/>
      <c r="E30" s="70" t="n">
        <f aca="false">((100+C19*IF(G5="T",P18,0.8*P18))/100)*AC11*AD20*P19*G6*AB5*IF(G5="N/A",1,1-P16)+((100+C20*V20)/100)*G11*1*G16*G17*AC6*AD20</f>
        <v>7172.28880686695</v>
      </c>
      <c r="F30" s="27"/>
      <c r="G30" s="70" t="n">
        <f aca="false">((100+C19*IF(H5="T",P18,0.8*P18))/100)*AD11*AD20*P19*H6*AB5*IF(H5="N/A",1,1-P16)</f>
        <v>0</v>
      </c>
      <c r="H30" s="11"/>
      <c r="I30" s="63" t="s">
        <v>140</v>
      </c>
      <c r="J30" s="70" t="n">
        <f aca="false">(D23*H23*((100+IF(L23="AirP",C19,IF(L23="FP",E19,C20))*K23)/100)/IF(P23=0,AD17,P23)*AD20*O23)*P19*IF(L23="Airp",(1-P16),1)</f>
        <v>116.103628550503</v>
      </c>
      <c r="K30" s="70"/>
      <c r="L30" s="70" t="n">
        <f aca="false">(D24*H24*((100+IF(L24="AirP",C19,E19)*K24)/100)/IF(P24=0,AD17,P24)*AD20*O24)*P19*IF(L24="Airp",(1-P16),1)</f>
        <v>86.3598961888014</v>
      </c>
      <c r="M30" s="27"/>
      <c r="N30" s="70" t="n">
        <f aca="false">(D25*H25*((100+IF(L25="AirP",C19,E19)*K25)/100)/IF(P25=0,AD17,P25)*AD20*O25)*P19*(1-P16)</f>
        <v>0</v>
      </c>
      <c r="O30" s="70"/>
      <c r="P30" s="70" t="n">
        <f aca="false">(D26*H26*((100+IF(L26="AirP",C19,E19)*K26)/100)/IF(P26=0,AD17,P26)*AD20*O26)*P19*(1-P16)</f>
        <v>0</v>
      </c>
      <c r="Q30" s="11"/>
      <c r="R30" s="11"/>
      <c r="S30" s="16"/>
      <c r="T30" s="16"/>
      <c r="U30" s="16"/>
      <c r="V30" s="16"/>
      <c r="W30" s="1"/>
      <c r="X30" s="1"/>
      <c r="Y30" s="1"/>
      <c r="Z30" s="1"/>
      <c r="AA30" s="61" t="s">
        <v>222</v>
      </c>
      <c r="AB30" s="72"/>
      <c r="AC30" s="76"/>
      <c r="AD30" s="127" t="n">
        <f aca="false">0.1+(P14/(P14+2+S16*SUM(C13:H13)))+((P13-SUM(C14:H14))/1000)-S15</f>
        <v>0.04</v>
      </c>
      <c r="AE30" s="1"/>
      <c r="AF30" s="1"/>
      <c r="AG30" s="1"/>
      <c r="AH30" s="1"/>
      <c r="AI30" s="1"/>
    </row>
    <row r="31" customFormat="false" ht="14.4" hidden="false" customHeight="false" outlineLevel="0" collapsed="false">
      <c r="A31" s="1"/>
      <c r="B31" s="63" t="s">
        <v>142</v>
      </c>
      <c r="C31" s="70" t="n">
        <f aca="false">((100+$E$19)/100)*$AD$21*$P$19*$P$12*$F$11*$F$16*$F$17*$C$11*AB7*AD15*IF(F5="N/A",1,1-P16)</f>
        <v>5947.64440072378</v>
      </c>
      <c r="D31" s="70"/>
      <c r="E31" s="70" t="n">
        <f aca="false">((100+C19*IF(G5="T",P18,0.8*P18))/100)*AC12*AD20*P19*G6*AB5*IF(G5="N/A",1,1-P16)+((100+C20*V20)/100)*G11*1*G16*G17*AC7*AD20</f>
        <v>8766.1307639485</v>
      </c>
      <c r="F31" s="27"/>
      <c r="G31" s="70" t="n">
        <f aca="false">((100+C19*IF(H5="T",P18,0.8*P18))/100)*AD12*AD20*P19*H6*AB5*IF(H5="N/A",1,1-P16)</f>
        <v>0</v>
      </c>
      <c r="H31" s="11"/>
      <c r="I31" s="63" t="s">
        <v>142</v>
      </c>
      <c r="J31" s="70" t="n">
        <f aca="false">(D23*I23*((100+IF(L23="AirP",C19,IF(L23="FP",E19,C20))*K23)/100)/IF(P23=0,AD17,P23)*AD20*O23)*P19*IF(L23="Airp",(1-P16),1)</f>
        <v>140.54649771903</v>
      </c>
      <c r="K31" s="70"/>
      <c r="L31" s="70" t="n">
        <f aca="false">(D24*I24*((100+IF(L24="AirP",C19,E19)*K24)/100)/IF(P24=0,AD17,P24)*AD20*O24)*P19*IF(L24="Airp",(1-P16),1)</f>
        <v>101.599877869178</v>
      </c>
      <c r="M31" s="27"/>
      <c r="N31" s="70" t="n">
        <f aca="false">(D25*I25*((100+IF(L25="AirP",C19,E19)*K25)/100)/IF(P25=0,AD17,P25)*AD20*O25)*P19*(1-P16)</f>
        <v>0</v>
      </c>
      <c r="O31" s="70"/>
      <c r="P31" s="70" t="n">
        <f aca="false">(D26*I26*((100+IF(L26="AirP",C19,E19)*K26)/100)/IF(P26=0,AD17,P26)*AD20*O26)*P19*(1-P16)</f>
        <v>0</v>
      </c>
      <c r="Q31" s="11"/>
      <c r="R31" s="11"/>
      <c r="S31" s="16"/>
      <c r="T31" s="16"/>
      <c r="U31" s="16"/>
      <c r="V31" s="16"/>
      <c r="W31" s="1"/>
      <c r="X31" s="1"/>
      <c r="Y31" s="1"/>
      <c r="Z31" s="1"/>
      <c r="AA31" s="61" t="s">
        <v>223</v>
      </c>
      <c r="AB31" s="72"/>
      <c r="AC31" s="76"/>
      <c r="AD31" s="44" t="n">
        <f aca="false">IF(AD30&lt;=0.1, 0.1, IF(AD30&gt;=0.9, 0.9, AD30))</f>
        <v>0.1</v>
      </c>
      <c r="AE31" s="1"/>
      <c r="AF31" s="1"/>
      <c r="AG31" s="1"/>
      <c r="AH31" s="1"/>
      <c r="AI31" s="1"/>
    </row>
    <row r="32" customFormat="false" ht="14.4" hidden="false" customHeight="false" outlineLevel="0" collapsed="false">
      <c r="A32" s="1"/>
      <c r="B32" s="63" t="s">
        <v>238</v>
      </c>
      <c r="C32" s="70" t="n">
        <f aca="false">(((100+E19)/100)*F11*F16*M18*C11+5)*5*(1-(1-M19)^(F17*P12))</f>
        <v>4431.43725</v>
      </c>
      <c r="D32" s="70"/>
      <c r="E32" s="70" t="n">
        <v>0</v>
      </c>
      <c r="F32" s="27"/>
      <c r="G32" s="70" t="n">
        <v>0</v>
      </c>
      <c r="H32" s="11"/>
      <c r="I32" s="63"/>
      <c r="J32" s="70"/>
      <c r="K32" s="70"/>
      <c r="L32" s="70"/>
      <c r="M32" s="27"/>
      <c r="N32" s="70"/>
      <c r="O32" s="70"/>
      <c r="P32" s="70"/>
      <c r="Q32" s="11"/>
      <c r="R32" s="11"/>
      <c r="S32" s="16"/>
      <c r="T32" s="16"/>
      <c r="U32" s="16"/>
      <c r="V32" s="16"/>
      <c r="W32" s="1"/>
      <c r="X32" s="1"/>
      <c r="Y32" s="1"/>
      <c r="Z32" s="1"/>
      <c r="AA32" s="27"/>
      <c r="AB32" s="72"/>
      <c r="AC32" s="27"/>
      <c r="AD32" s="27"/>
      <c r="AE32" s="1"/>
      <c r="AF32" s="1"/>
      <c r="AG32" s="1"/>
      <c r="AH32" s="1"/>
      <c r="AI32" s="1"/>
    </row>
    <row r="33" customFormat="false" ht="14.4" hidden="false" customHeight="false" outlineLevel="0" collapsed="false">
      <c r="A33" s="1"/>
      <c r="B33" s="11"/>
      <c r="C33" s="111"/>
      <c r="D33" s="111"/>
      <c r="E33" s="111"/>
      <c r="F33" s="11"/>
      <c r="G33" s="111"/>
      <c r="H33" s="11"/>
      <c r="I33" s="132" t="s">
        <v>228</v>
      </c>
      <c r="J33" s="135" t="s">
        <v>229</v>
      </c>
      <c r="K33" s="135"/>
      <c r="L33" s="135" t="s">
        <v>230</v>
      </c>
      <c r="M33" s="132"/>
      <c r="N33" s="135" t="s">
        <v>231</v>
      </c>
      <c r="O33" s="135"/>
      <c r="P33" s="135" t="s">
        <v>232</v>
      </c>
      <c r="Q33" s="11"/>
      <c r="R33" s="11"/>
      <c r="S33" s="16"/>
      <c r="T33" s="16"/>
      <c r="U33" s="16"/>
      <c r="V33" s="16"/>
      <c r="W33" s="1"/>
      <c r="X33" s="1"/>
      <c r="Y33" s="1"/>
      <c r="Z33" s="1"/>
      <c r="AA33" s="1"/>
      <c r="AB33" s="1"/>
      <c r="AC33" s="1"/>
      <c r="AD33" s="1"/>
      <c r="AE33" s="1"/>
      <c r="AF33" s="1"/>
      <c r="AG33" s="1"/>
      <c r="AH33" s="1"/>
      <c r="AI33" s="1"/>
    </row>
    <row r="34" customFormat="false" ht="14.4" hidden="false" customHeight="false" outlineLevel="0" collapsed="false">
      <c r="A34" s="1"/>
      <c r="B34" s="132"/>
      <c r="C34" s="135" t="s">
        <v>290</v>
      </c>
      <c r="D34" s="135"/>
      <c r="E34" s="135" t="s">
        <v>291</v>
      </c>
      <c r="F34" s="132"/>
      <c r="G34" s="135" t="s">
        <v>292</v>
      </c>
      <c r="H34" s="11"/>
      <c r="I34" s="63" t="s">
        <v>138</v>
      </c>
      <c r="J34" s="70" t="n">
        <f aca="false">(D23*G23*((100+IF(L23="AirP",C19,IF(L23="FP",E19,C20))*K23)/100)*AD20*O23)*P19*IF(L23="Airp",(1-P16),1)</f>
        <v>2799.76470767763</v>
      </c>
      <c r="K34" s="70"/>
      <c r="L34" s="70" t="n">
        <f aca="false">(D24*G24*((100+IF(L24="AirP",C19,E19)*K24)/100)*AD20*O24)*P19*IF(L24="Airp",(1-P16),1)</f>
        <v>2327.51523891273</v>
      </c>
      <c r="M34" s="27"/>
      <c r="N34" s="70" t="n">
        <f aca="false">(D25*G25*((100+IF(L25="AirP",C19,E19)*K25)/100)*AD20*O25)*P19*(1-P16)</f>
        <v>0</v>
      </c>
      <c r="O34" s="70"/>
      <c r="P34" s="70" t="n">
        <f aca="false">(D26*G26*((100+IF(L26="AirP",C19,E19)*K26)/100)*AD20*O26)*P19*(1-P16)</f>
        <v>0</v>
      </c>
      <c r="Q34" s="11"/>
      <c r="R34" s="11"/>
      <c r="S34" s="16"/>
      <c r="T34" s="16"/>
      <c r="U34" s="16"/>
      <c r="V34" s="16"/>
      <c r="W34" s="16"/>
      <c r="X34" s="16"/>
      <c r="Y34" s="16"/>
      <c r="Z34" s="16"/>
      <c r="AA34" s="16"/>
      <c r="AB34" s="16"/>
      <c r="AC34" s="16"/>
      <c r="AD34" s="16"/>
      <c r="AE34" s="1"/>
      <c r="AF34" s="1"/>
      <c r="AG34" s="1"/>
      <c r="AH34" s="1"/>
      <c r="AI34" s="1"/>
    </row>
    <row r="35" customFormat="false" ht="14.4" hidden="false" customHeight="false" outlineLevel="0" collapsed="false">
      <c r="A35" s="1"/>
      <c r="B35" s="63" t="s">
        <v>138</v>
      </c>
      <c r="C35" s="70" t="n">
        <f aca="false">C29*(IF(OR(F5="F",F5="B"),0.8,1))/AD18</f>
        <v>497.731861882335</v>
      </c>
      <c r="D35" s="70"/>
      <c r="E35" s="70" t="n">
        <f aca="false">E29*(IF(OR(G5="F",G5="B"),0.8,1))/IF(B2="BB",AD17,AD19)</f>
        <v>178.109003290664</v>
      </c>
      <c r="F35" s="27"/>
      <c r="G35" s="70" t="n">
        <f aca="false">G29*(IF(OR(H5="F",H5="B"),0.8,1))/AD17</f>
        <v>0</v>
      </c>
      <c r="H35" s="11"/>
      <c r="I35" s="63" t="s">
        <v>140</v>
      </c>
      <c r="J35" s="70" t="n">
        <f aca="false">(D23*H23*((100+IF(L23="AirP",C19,IF(L23="FP",E19,C20))*K23)/100)*AD20*O23)*P19*IF(L23="Airp",(1-P16),1)</f>
        <v>3324.72059036719</v>
      </c>
      <c r="K35" s="70"/>
      <c r="L35" s="70" t="n">
        <f aca="false">(D24*H24*((100+IF(L24="AirP",C19,E19)*K24)/100)*AD20*O24)*P19*IF(L24="Airp",(1-P16),1)</f>
        <v>2472.98494134478</v>
      </c>
      <c r="M35" s="27"/>
      <c r="N35" s="70" t="n">
        <f aca="false">(D25*H25*((100+IF(L25="AirP",C19,E19)*K25)/100)*AD20*O25)*P19*(1-P16)</f>
        <v>0</v>
      </c>
      <c r="O35" s="70"/>
      <c r="P35" s="70" t="n">
        <f aca="false">(D26*H26*((100+IF(L26="AirP",C19,E19)*K26)/100)*AD20*O26)*P19*(1-P16)</f>
        <v>0</v>
      </c>
      <c r="Q35" s="11"/>
      <c r="R35" s="11"/>
      <c r="S35" s="16"/>
      <c r="T35" s="16"/>
      <c r="U35" s="16"/>
      <c r="V35" s="16"/>
      <c r="W35" s="16"/>
      <c r="X35" s="16"/>
      <c r="Y35" s="16"/>
      <c r="Z35" s="16"/>
      <c r="AA35" s="16"/>
      <c r="AB35" s="16"/>
      <c r="AC35" s="16"/>
      <c r="AD35" s="16"/>
      <c r="AE35" s="1"/>
      <c r="AF35" s="1"/>
      <c r="AG35" s="1"/>
      <c r="AH35" s="1"/>
      <c r="AI35" s="1"/>
    </row>
    <row r="36" customFormat="false" ht="14.4" hidden="false" customHeight="false" outlineLevel="0" collapsed="false">
      <c r="A36" s="1"/>
      <c r="B36" s="63" t="s">
        <v>140</v>
      </c>
      <c r="C36" s="70" t="n">
        <f aca="false">C30*(IF(OR(F5="F",F5="B"),0.8,1))/AD18</f>
        <v>391.075034336121</v>
      </c>
      <c r="D36" s="70"/>
      <c r="E36" s="70" t="n">
        <f aca="false">E30*(IF(OR(G5="F",G5="B"),0.8,1))/IF(B2="BB",AD17,AD19)</f>
        <v>200.372628701996</v>
      </c>
      <c r="F36" s="27"/>
      <c r="G36" s="70" t="n">
        <f aca="false">G30*(IF(OR(H5="F",H5="B"),0.8,1))/AD17</f>
        <v>0</v>
      </c>
      <c r="H36" s="11"/>
      <c r="I36" s="63" t="s">
        <v>142</v>
      </c>
      <c r="J36" s="70" t="n">
        <f aca="false">(D23*I23*((100+IF(L23="AirP",C19,IF(L23="FP",E19,C20))*K23)/100)*AD20*O23)*P19*IF(L23="Airp",(1-P16),1)</f>
        <v>4024.6617672866</v>
      </c>
      <c r="K36" s="70"/>
      <c r="L36" s="70" t="n">
        <f aca="false">(D24*I24*((100+IF(L24="AirP",C19,E19)*K24)/100)*AD20*O24)*P19*IF(L24="Airp",(1-P16),1)</f>
        <v>2909.39404864092</v>
      </c>
      <c r="M36" s="27"/>
      <c r="N36" s="70" t="n">
        <f aca="false">(D25*I25*((100+IF(L25="AirP",C19,E19)*K25)/100)*AD20*O25)*P19*(1-P16)</f>
        <v>0</v>
      </c>
      <c r="O36" s="70"/>
      <c r="P36" s="70" t="n">
        <f aca="false">(D26*I26*((100+IF(L26="AirP",C19,E19)*K26)/100)*AD20*O26)*P19*(1-P16)</f>
        <v>0</v>
      </c>
      <c r="Q36" s="11"/>
      <c r="R36" s="11"/>
      <c r="S36" s="16"/>
      <c r="T36" s="16"/>
      <c r="U36" s="16"/>
      <c r="V36" s="16"/>
      <c r="W36" s="16"/>
      <c r="X36" s="16"/>
      <c r="Y36" s="16"/>
      <c r="Z36" s="16"/>
      <c r="AA36" s="16"/>
      <c r="AB36" s="16"/>
      <c r="AC36" s="16"/>
      <c r="AD36" s="16"/>
      <c r="AE36" s="1"/>
      <c r="AF36" s="1"/>
      <c r="AG36" s="1"/>
      <c r="AH36" s="1"/>
      <c r="AI36" s="1"/>
    </row>
    <row r="37" customFormat="false" ht="14.4" hidden="false" customHeight="false" outlineLevel="0" collapsed="false">
      <c r="A37" s="1"/>
      <c r="B37" s="63" t="s">
        <v>142</v>
      </c>
      <c r="C37" s="70" t="n">
        <f aca="false">C31*(IF(OR(F5="F",F5="B"),0.8,1))/AD18</f>
        <v>319.970482638644</v>
      </c>
      <c r="D37" s="70"/>
      <c r="E37" s="70" t="n">
        <f aca="false">E31*(IF(OR(G5="F",G5="B"),0.8,1))/IF(B2="BB",AD17,AD19)</f>
        <v>244.899879524662</v>
      </c>
      <c r="F37" s="27"/>
      <c r="G37" s="70" t="n">
        <f aca="false">G31*(IF(OR(H5="F",H5="B"),0.8,1))/AD17</f>
        <v>0</v>
      </c>
      <c r="H37" s="11"/>
      <c r="I37" s="11"/>
      <c r="J37" s="11"/>
      <c r="K37" s="11"/>
      <c r="L37" s="11"/>
      <c r="M37" s="11"/>
      <c r="N37" s="11"/>
      <c r="O37" s="11"/>
      <c r="P37" s="11"/>
      <c r="Q37" s="11"/>
      <c r="R37" s="11"/>
      <c r="S37" s="16"/>
      <c r="T37" s="16"/>
      <c r="U37" s="16"/>
      <c r="V37" s="16"/>
      <c r="W37" s="16"/>
      <c r="X37" s="16"/>
      <c r="Y37" s="16"/>
      <c r="Z37" s="16"/>
      <c r="AA37" s="16"/>
      <c r="AB37" s="16"/>
      <c r="AC37" s="16"/>
      <c r="AD37" s="16"/>
      <c r="AE37" s="1"/>
      <c r="AF37" s="1"/>
      <c r="AG37" s="1"/>
      <c r="AH37" s="1"/>
      <c r="AI37" s="1"/>
    </row>
    <row r="38" customFormat="false" ht="14.4" hidden="false" customHeight="false" outlineLevel="0" collapsed="false">
      <c r="A38" s="1"/>
      <c r="B38" s="63" t="s">
        <v>241</v>
      </c>
      <c r="C38" s="70" t="n">
        <f aca="false">C32/15*(MIN((15/(AD18)),1))</f>
        <v>238.401797439809</v>
      </c>
      <c r="D38" s="70"/>
      <c r="E38" s="70" t="n">
        <v>0</v>
      </c>
      <c r="F38" s="27"/>
      <c r="G38" s="70" t="n">
        <v>0</v>
      </c>
      <c r="H38" s="11"/>
      <c r="I38" s="132" t="s">
        <v>302</v>
      </c>
      <c r="J38" s="132" t="s">
        <v>229</v>
      </c>
      <c r="K38" s="132"/>
      <c r="L38" s="132" t="s">
        <v>230</v>
      </c>
      <c r="M38" s="132"/>
      <c r="N38" s="132" t="s">
        <v>231</v>
      </c>
      <c r="O38" s="132"/>
      <c r="P38" s="132" t="s">
        <v>232</v>
      </c>
      <c r="Q38" s="11"/>
      <c r="R38" s="11"/>
      <c r="S38" s="16"/>
      <c r="T38" s="16"/>
      <c r="U38" s="16"/>
      <c r="V38" s="16"/>
      <c r="W38" s="16"/>
      <c r="X38" s="16"/>
      <c r="Y38" s="16"/>
      <c r="Z38" s="16"/>
      <c r="AA38" s="16"/>
      <c r="AB38" s="16"/>
      <c r="AC38" s="16"/>
      <c r="AD38" s="16"/>
      <c r="AE38" s="1"/>
      <c r="AF38" s="1"/>
      <c r="AG38" s="1"/>
      <c r="AH38" s="1"/>
      <c r="AI38" s="1"/>
    </row>
    <row r="39" customFormat="false" ht="14.4" hidden="false" customHeight="false" outlineLevel="0" collapsed="false">
      <c r="A39" s="1"/>
      <c r="B39" s="11"/>
      <c r="C39" s="11"/>
      <c r="D39" s="11"/>
      <c r="E39" s="11"/>
      <c r="F39" s="11"/>
      <c r="G39" s="11"/>
      <c r="H39" s="11"/>
      <c r="I39" s="63" t="s">
        <v>284</v>
      </c>
      <c r="J39" s="70" t="n">
        <f aca="false">(E23*O23*((100+K23*C19)/100)*M18+5)*(1-(1-J23)^(F23))*5</f>
        <v>0</v>
      </c>
      <c r="K39" s="70"/>
      <c r="L39" s="70" t="n">
        <f aca="false">(E24*O24*((100+K24*C19)/100)*M18+5)*(1-(1-J24)^(F24))*5</f>
        <v>0</v>
      </c>
      <c r="M39" s="70"/>
      <c r="N39" s="70" t="n">
        <f aca="false">(E25*O25*((100+K25*C19)/100)*M18+5)*(1-(1-J25)^(F25))*5</f>
        <v>0</v>
      </c>
      <c r="O39" s="70"/>
      <c r="P39" s="70" t="n">
        <f aca="false">(E26*O26*((100+K26*C19)/100)*M18+5)*(1-(1-J23)^(F23))*5</f>
        <v>0</v>
      </c>
      <c r="Q39" s="11"/>
      <c r="R39" s="11"/>
      <c r="S39" s="16"/>
      <c r="T39" s="16"/>
      <c r="U39" s="16"/>
      <c r="V39" s="16"/>
      <c r="W39" s="16"/>
      <c r="X39" s="16"/>
      <c r="Y39" s="16"/>
      <c r="Z39" s="16"/>
      <c r="AA39" s="16"/>
      <c r="AB39" s="16"/>
      <c r="AC39" s="16"/>
      <c r="AD39" s="16"/>
      <c r="AE39" s="1"/>
      <c r="AF39" s="1"/>
      <c r="AG39" s="1"/>
      <c r="AH39" s="1"/>
      <c r="AI39" s="1"/>
    </row>
    <row r="40" customFormat="false" ht="14.4" hidden="false" customHeight="false" outlineLevel="0" collapsed="false">
      <c r="A40" s="1"/>
      <c r="B40" s="11"/>
      <c r="C40" s="11"/>
      <c r="D40" s="11"/>
      <c r="E40" s="11"/>
      <c r="F40" s="11"/>
      <c r="G40" s="11"/>
      <c r="H40" s="11"/>
      <c r="I40" s="63" t="s">
        <v>303</v>
      </c>
      <c r="J40" s="70" t="n">
        <f aca="false">M23*(E23*((100+C19*K23)/100)*N23+10)*8</f>
        <v>0</v>
      </c>
      <c r="K40" s="70"/>
      <c r="L40" s="70" t="n">
        <f aca="false">M24*(E24*((100+C19*K24)/100)*N24+10)*8</f>
        <v>0</v>
      </c>
      <c r="M40" s="70"/>
      <c r="N40" s="70" t="n">
        <f aca="false">M25*(E25*((100+C19*K25)/100)*N25+10)*8</f>
        <v>0</v>
      </c>
      <c r="O40" s="70"/>
      <c r="P40" s="70" t="n">
        <f aca="false">M26*(E26*((100+C19*K26)/100)*N26+10)*8</f>
        <v>0</v>
      </c>
      <c r="Q40" s="11"/>
      <c r="R40" s="11"/>
      <c r="S40" s="16"/>
      <c r="T40" s="16"/>
      <c r="U40" s="16"/>
      <c r="V40" s="16"/>
      <c r="W40" s="16"/>
      <c r="X40" s="16"/>
      <c r="Y40" s="16"/>
      <c r="Z40" s="16"/>
      <c r="AA40" s="16"/>
      <c r="AB40" s="16"/>
      <c r="AC40" s="16"/>
      <c r="AD40" s="16"/>
      <c r="AE40" s="1"/>
      <c r="AF40" s="1"/>
      <c r="AG40" s="1"/>
      <c r="AH40" s="1"/>
      <c r="AI40" s="1"/>
    </row>
    <row r="41" customFormat="false" ht="14.4" hidden="false" customHeight="false" outlineLevel="0" collapsed="false">
      <c r="A41" s="1"/>
      <c r="B41" s="11"/>
      <c r="C41" s="11"/>
      <c r="D41" s="11"/>
      <c r="E41" s="11"/>
      <c r="F41" s="11"/>
      <c r="G41" s="11"/>
      <c r="H41" s="11"/>
      <c r="I41" s="63"/>
      <c r="J41" s="70"/>
      <c r="K41" s="70"/>
      <c r="L41" s="70"/>
      <c r="M41" s="70"/>
      <c r="N41" s="70"/>
      <c r="O41" s="70"/>
      <c r="P41" s="70"/>
      <c r="Q41" s="11"/>
      <c r="R41" s="11"/>
      <c r="S41" s="16"/>
      <c r="T41" s="16"/>
      <c r="U41" s="16"/>
      <c r="V41" s="16"/>
      <c r="W41" s="16"/>
      <c r="X41" s="16"/>
      <c r="Y41" s="16"/>
      <c r="Z41" s="16"/>
      <c r="AA41" s="16"/>
      <c r="AB41" s="16"/>
      <c r="AC41" s="16"/>
      <c r="AD41" s="16"/>
      <c r="AE41" s="1"/>
      <c r="AF41" s="1"/>
      <c r="AG41" s="1"/>
      <c r="AH41" s="1"/>
      <c r="AI41" s="1"/>
    </row>
    <row r="42" customFormat="false" ht="14.4" hidden="false" customHeight="false" outlineLevel="0" collapsed="false">
      <c r="A42" s="1"/>
      <c r="B42" s="11"/>
      <c r="C42" s="11"/>
      <c r="D42" s="11"/>
      <c r="E42" s="11"/>
      <c r="F42" s="11"/>
      <c r="G42" s="11"/>
      <c r="H42" s="11"/>
      <c r="I42" s="132" t="s">
        <v>302</v>
      </c>
      <c r="J42" s="135" t="s">
        <v>293</v>
      </c>
      <c r="K42" s="135"/>
      <c r="L42" s="135" t="s">
        <v>294</v>
      </c>
      <c r="M42" s="135"/>
      <c r="N42" s="135" t="s">
        <v>295</v>
      </c>
      <c r="O42" s="135"/>
      <c r="P42" s="135" t="s">
        <v>296</v>
      </c>
      <c r="Q42" s="11"/>
      <c r="R42" s="11"/>
      <c r="S42" s="16"/>
      <c r="T42" s="16"/>
      <c r="U42" s="16"/>
      <c r="V42" s="16"/>
      <c r="W42" s="16"/>
      <c r="X42" s="16"/>
      <c r="Y42" s="16"/>
      <c r="Z42" s="16"/>
      <c r="AA42" s="16"/>
      <c r="AB42" s="16"/>
      <c r="AC42" s="16"/>
      <c r="AD42" s="16"/>
      <c r="AE42" s="1"/>
      <c r="AF42" s="1"/>
      <c r="AG42" s="1"/>
      <c r="AH42" s="1"/>
      <c r="AI42" s="1"/>
    </row>
    <row r="43" customFormat="false" ht="14.4" hidden="false" customHeight="false" outlineLevel="0" collapsed="false">
      <c r="A43" s="1"/>
      <c r="B43" s="11"/>
      <c r="C43" s="11"/>
      <c r="D43" s="11"/>
      <c r="E43" s="11"/>
      <c r="F43" s="11"/>
      <c r="G43" s="11"/>
      <c r="H43" s="11"/>
      <c r="I43" s="63" t="s">
        <v>241</v>
      </c>
      <c r="J43" s="70" t="n">
        <f aca="false">J39/15*(MIN((15/IF(P23=0,AD17,P23)),1))</f>
        <v>0</v>
      </c>
      <c r="K43" s="70"/>
      <c r="L43" s="70" t="n">
        <f aca="false">L39/15*(MIN((15/IF(P24=0,AD17,P24)),1))</f>
        <v>0</v>
      </c>
      <c r="M43" s="70"/>
      <c r="N43" s="70" t="n">
        <f aca="false">N39/15*(MIN((15/IF(P25=0,AD17,P25)),1))</f>
        <v>0</v>
      </c>
      <c r="O43" s="70"/>
      <c r="P43" s="70" t="n">
        <f aca="false">P39/15*(MIN((15/IF(P26=0,AD17,P26)),1))</f>
        <v>0</v>
      </c>
      <c r="Q43" s="11"/>
      <c r="R43" s="11"/>
      <c r="S43" s="16"/>
      <c r="T43" s="16"/>
      <c r="U43" s="16"/>
      <c r="V43" s="16"/>
      <c r="W43" s="16"/>
      <c r="X43" s="16"/>
      <c r="Y43" s="16"/>
      <c r="Z43" s="16"/>
      <c r="AA43" s="16"/>
      <c r="AB43" s="16"/>
      <c r="AC43" s="16"/>
      <c r="AD43" s="16"/>
      <c r="AE43" s="1"/>
      <c r="AF43" s="1"/>
      <c r="AG43" s="1"/>
      <c r="AH43" s="1"/>
      <c r="AI43" s="1"/>
    </row>
    <row r="44" customFormat="false" ht="14.4" hidden="false" customHeight="false" outlineLevel="0" collapsed="false">
      <c r="A44" s="1"/>
      <c r="B44" s="11"/>
      <c r="C44" s="11"/>
      <c r="D44" s="11"/>
      <c r="E44" s="11"/>
      <c r="F44" s="11"/>
      <c r="G44" s="11"/>
      <c r="H44" s="11"/>
      <c r="I44" s="63" t="s">
        <v>304</v>
      </c>
      <c r="J44" s="70" t="n">
        <f aca="false">J40/15*(MIN((15/IF(P23=0,AD17,P23)),1))</f>
        <v>0</v>
      </c>
      <c r="K44" s="70"/>
      <c r="L44" s="70" t="n">
        <f aca="false">L40/15*(MIN((15/IF(P23=0,AD17,P23)),1))</f>
        <v>0</v>
      </c>
      <c r="M44" s="70"/>
      <c r="N44" s="70" t="n">
        <f aca="false">N40/15*(MIN((15/IF(P23=0,AD17,P23)),1))</f>
        <v>0</v>
      </c>
      <c r="O44" s="70"/>
      <c r="P44" s="70" t="n">
        <f aca="false">P40/15*(MIN((15/IF(P23=0,AD17,P23)),1))</f>
        <v>0</v>
      </c>
      <c r="Q44" s="11"/>
      <c r="R44" s="11"/>
      <c r="S44" s="16"/>
      <c r="T44" s="16"/>
      <c r="U44" s="16"/>
      <c r="V44" s="16"/>
      <c r="W44" s="16"/>
      <c r="X44" s="16"/>
      <c r="Y44" s="16"/>
      <c r="Z44" s="16"/>
      <c r="AA44" s="16"/>
      <c r="AB44" s="16"/>
      <c r="AC44" s="16"/>
      <c r="AD44" s="16"/>
      <c r="AE44" s="1"/>
      <c r="AF44" s="1"/>
      <c r="AG44" s="1"/>
      <c r="AH44" s="1"/>
      <c r="AI44" s="1"/>
    </row>
    <row r="45" customFormat="false" ht="14.4" hidden="false" customHeight="false" outlineLevel="0" collapsed="false">
      <c r="A45" s="1"/>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
      <c r="AF45" s="1"/>
      <c r="AG45" s="1"/>
      <c r="AH45" s="1"/>
      <c r="AI45" s="1"/>
    </row>
    <row r="46" customFormat="false" ht="14.4" hidden="false" customHeight="false" outlineLevel="0" collapsed="false">
      <c r="A46" s="1"/>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
      <c r="AF46" s="1"/>
      <c r="AG46" s="1"/>
      <c r="AH46" s="1"/>
      <c r="AI46" s="1"/>
    </row>
    <row r="47" customFormat="false" ht="14.4" hidden="false" customHeight="false" outlineLevel="0" collapsed="false">
      <c r="A47" s="1"/>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
      <c r="AF47" s="1"/>
      <c r="AG47" s="1"/>
      <c r="AH47" s="1"/>
      <c r="AI47" s="1"/>
    </row>
    <row r="48" customFormat="false" ht="14.4" hidden="false" customHeight="false" outlineLevel="0" collapsed="false">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
      <c r="AF48" s="1"/>
      <c r="AG48" s="1"/>
      <c r="AH48" s="1"/>
      <c r="AI48" s="1"/>
    </row>
    <row r="49" customFormat="false" ht="14.4" hidden="false" customHeight="false" outlineLevel="0" collapsed="false">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
      <c r="AF49" s="1"/>
      <c r="AG49" s="1"/>
      <c r="AH49" s="1"/>
      <c r="AI49" s="1"/>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customFormat="false" ht="14.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customFormat="false" ht="14.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customFormat="false" ht="14.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customFormat="false" ht="14.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customFormat="false" ht="14.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customFormat="false" ht="14.4"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customFormat="false" ht="14.4"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customFormat="false" ht="14.4" hidden="false" customHeight="false" outlineLevel="0" collapsed="false">
      <c r="A64" s="1"/>
    </row>
    <row r="65" customFormat="false" ht="14.4" hidden="false" customHeight="false" outlineLevel="0" collapsed="false">
      <c r="A65" s="1"/>
    </row>
    <row r="66" customFormat="false" ht="14.4" hidden="false" customHeight="false" outlineLevel="0" collapsed="false">
      <c r="A66" s="1"/>
    </row>
    <row r="67" customFormat="false" ht="14.4" hidden="false" customHeight="false" outlineLevel="0" collapsed="false">
      <c r="A67" s="1"/>
    </row>
    <row r="68" customFormat="false" ht="14.4" hidden="false" customHeight="false" outlineLevel="0" collapsed="false">
      <c r="A68" s="1"/>
    </row>
    <row r="69" customFormat="false" ht="14.4" hidden="false" customHeight="false" outlineLevel="0" collapsed="false">
      <c r="A69" s="1"/>
    </row>
    <row r="70" customFormat="false" ht="14.4" hidden="false" customHeight="false" outlineLevel="0" collapsed="false">
      <c r="A70" s="1"/>
    </row>
  </sheetData>
  <mergeCells count="7">
    <mergeCell ref="AA2:AD2"/>
    <mergeCell ref="K11:U11"/>
    <mergeCell ref="Q22:R22"/>
    <mergeCell ref="Q23:R23"/>
    <mergeCell ref="Q24:R24"/>
    <mergeCell ref="Q25:R25"/>
    <mergeCell ref="Q26:R26"/>
  </mergeCells>
  <dataValidations count="11">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V14" type="list">
      <formula1>INDIRECT("YNTable[Type]")</formula1>
      <formula2>0</formula2>
    </dataValidation>
    <dataValidation allowBlank="true" errorStyle="stop" operator="between" showDropDown="false" showErrorMessage="true" showInputMessage="true" sqref="L23:L26" type="list">
      <formula1>'Ship Stats'!$A$1084:$A$1086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47"/>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C2" activeCellId="0" sqref="C2"/>
    </sheetView>
  </sheetViews>
  <sheetFormatPr defaultColWidth="8.58984375" defaultRowHeight="14.4" zeroHeight="false" outlineLevelRow="0" outlineLevelCol="0"/>
  <cols>
    <col collapsed="false" customWidth="true" hidden="false" outlineLevel="0" max="8" min="4" style="0" width="12.66"/>
  </cols>
  <sheetData>
    <row r="1" customFormat="false" ht="14.4" hidden="false" customHeight="false" outlineLevel="0" collapsed="false">
      <c r="A1" s="1"/>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customFormat="false" ht="14.4" hidden="false" customHeight="false" outlineLevel="0" collapsed="false">
      <c r="A2" s="1"/>
      <c r="B2" s="56" t="s">
        <v>325</v>
      </c>
      <c r="C2" s="15" t="s">
        <v>326</v>
      </c>
      <c r="D2" s="57" t="s">
        <v>116</v>
      </c>
      <c r="E2" s="57" t="s">
        <v>117</v>
      </c>
      <c r="F2" s="57" t="s">
        <v>106</v>
      </c>
      <c r="G2" s="57" t="s">
        <v>107</v>
      </c>
      <c r="H2" s="57" t="s">
        <v>327</v>
      </c>
      <c r="I2" s="12"/>
      <c r="J2" s="16"/>
      <c r="K2" s="16"/>
      <c r="L2" s="16"/>
      <c r="M2" s="16"/>
      <c r="N2" s="16"/>
      <c r="O2" s="16"/>
      <c r="P2" s="16"/>
      <c r="Q2" s="16"/>
      <c r="R2" s="58"/>
      <c r="S2" s="58"/>
      <c r="T2" s="58"/>
      <c r="U2" s="16"/>
      <c r="V2" s="45"/>
      <c r="W2" s="131" t="s">
        <v>119</v>
      </c>
      <c r="X2" s="131"/>
      <c r="Y2" s="131"/>
      <c r="Z2" s="131"/>
      <c r="AA2" s="131"/>
      <c r="AB2" s="131"/>
      <c r="AC2" s="131"/>
      <c r="AD2" s="45"/>
      <c r="AE2" s="45"/>
      <c r="AF2" s="45"/>
      <c r="AG2" s="45"/>
    </row>
    <row r="3" customFormat="false" ht="14.4" hidden="false" customHeight="false" outlineLevel="0" collapsed="false">
      <c r="A3" s="1"/>
      <c r="B3" s="20" t="s">
        <v>96</v>
      </c>
      <c r="C3" s="60" t="str">
        <f aca="false">IFERROR(INDEX(SType[],MATCH(C4,SType[Ship],0),COLUMN(SType[Type])),0)</f>
        <v>Submarine</v>
      </c>
      <c r="D3" s="56" t="s">
        <v>120</v>
      </c>
      <c r="E3" s="56" t="s">
        <v>120</v>
      </c>
      <c r="F3" s="56" t="s">
        <v>325</v>
      </c>
      <c r="G3" s="56" t="s">
        <v>325</v>
      </c>
      <c r="H3" s="56" t="s">
        <v>74</v>
      </c>
      <c r="I3" s="12"/>
      <c r="J3" s="61" t="str">
        <f aca="false">C2</f>
        <v>I-19</v>
      </c>
      <c r="K3" s="62"/>
      <c r="L3" s="63" t="s">
        <v>328</v>
      </c>
      <c r="M3" s="63"/>
      <c r="N3" s="63" t="s">
        <v>329</v>
      </c>
      <c r="O3" s="63"/>
      <c r="P3" s="63" t="s">
        <v>330</v>
      </c>
      <c r="Q3" s="63"/>
      <c r="R3" s="63" t="s">
        <v>125</v>
      </c>
      <c r="S3" s="118"/>
      <c r="T3" s="30"/>
      <c r="U3" s="30"/>
      <c r="V3" s="45"/>
      <c r="W3" s="104" t="s">
        <v>130</v>
      </c>
      <c r="X3" s="104" t="s">
        <v>131</v>
      </c>
      <c r="Y3" s="104" t="s">
        <v>107</v>
      </c>
      <c r="Z3" s="104" t="s">
        <v>327</v>
      </c>
      <c r="AA3" s="104"/>
      <c r="AB3" s="104" t="s">
        <v>146</v>
      </c>
      <c r="AC3" s="27"/>
      <c r="AD3" s="44" t="n">
        <f aca="false">IF(H4="2x410mm Gold", 1.2, 0.6)</f>
        <v>0.6</v>
      </c>
      <c r="AE3" s="45"/>
      <c r="AF3" s="45"/>
      <c r="AG3" s="45"/>
    </row>
    <row r="4" customFormat="false" ht="14.4" hidden="false" customHeight="false" outlineLevel="0" collapsed="false">
      <c r="A4" s="1"/>
      <c r="B4" s="20" t="s">
        <v>97</v>
      </c>
      <c r="C4" s="60" t="str">
        <f aca="false">IFERROR(INDEX(Base[],MATCH(C2,Base[Akashi],0),COLUMN(Base[AR])),0)</f>
        <v>SS</v>
      </c>
      <c r="D4" s="15" t="s">
        <v>331</v>
      </c>
      <c r="E4" s="15" t="s">
        <v>331</v>
      </c>
      <c r="F4" s="15" t="s">
        <v>332</v>
      </c>
      <c r="G4" s="15" t="s">
        <v>333</v>
      </c>
      <c r="H4" s="15" t="s">
        <v>334</v>
      </c>
      <c r="I4" s="12"/>
      <c r="J4" s="67"/>
      <c r="K4" s="68" t="s">
        <v>138</v>
      </c>
      <c r="L4" s="70" t="n">
        <f aca="false">Z25*$Y$18+R4+Z28+Z29</f>
        <v>35515.9394959183</v>
      </c>
      <c r="M4" s="70"/>
      <c r="N4" s="70" t="n">
        <f aca="false">L4/$AD$7/$Y$18</f>
        <v>1420.63757983673</v>
      </c>
      <c r="O4" s="70"/>
      <c r="P4" s="70" t="n">
        <f aca="false">N4*$Y$18</f>
        <v>1420.63757983673</v>
      </c>
      <c r="Q4" s="70"/>
      <c r="R4" s="70" t="n">
        <f aca="false">(AB32+$AB$35+$AB$36)*$Y$18</f>
        <v>7043.04512244498</v>
      </c>
      <c r="S4" s="64"/>
      <c r="T4" s="30"/>
      <c r="U4" s="30"/>
      <c r="V4" s="45"/>
      <c r="W4" s="104" t="s">
        <v>96</v>
      </c>
      <c r="X4" s="104" t="str">
        <f aca="true">IFERROR(INDEX(INDIRECT(F3&amp;"Table"),MATCH(F4,INDIRECT(F3&amp;"Table"&amp;"[Name]"),0),COLUMN(INDIRECT(F3&amp;"Table"&amp;"[Ammo]"))),0)</f>
        <v>Normal</v>
      </c>
      <c r="Y4" s="104" t="str">
        <f aca="true">IFERROR(INDEX(INDIRECT(G3&amp;"Table"),MATCH(G4,INDIRECT(G3&amp;"Table"&amp;"[Name]"),0),COLUMN(INDIRECT(G3&amp;"Table"&amp;"[Ammo]"))),0)</f>
        <v>Normal</v>
      </c>
      <c r="Z4" s="104" t="str">
        <f aca="true">IFERROR(INDEX(INDIRECT(H3&amp;"Table"),MATCH(H4,INDIRECT(H3&amp;"Table"&amp;"[Name]"),0),COLUMN(INDIRECT(H3&amp;"Table"&amp;"[Ammo]"))),0)</f>
        <v>HE</v>
      </c>
      <c r="AA4" s="104"/>
      <c r="AB4" s="104" t="s">
        <v>78</v>
      </c>
      <c r="AC4" s="27"/>
      <c r="AD4" s="44" t="n">
        <f aca="false">IF(OR(Z4="Normal", Z4="Magnetic",Z4="AP"), 0,IFERROR(INDEX(BurnT[],MATCH(H3,BurnT[Type],0),COLUMN(BurnT[Burn])),0))</f>
        <v>0.01</v>
      </c>
      <c r="AE4" s="45"/>
      <c r="AF4" s="45"/>
      <c r="AG4" s="45"/>
    </row>
    <row r="5" customFormat="false" ht="14.4" hidden="false" customHeight="false" outlineLevel="0" collapsed="false">
      <c r="A5" s="1"/>
      <c r="B5" s="20" t="s">
        <v>335</v>
      </c>
      <c r="C5" s="72" t="n">
        <f aca="true">IFERROR(INDEX(INDIRECT(C3&amp;"Table"),MATCH(C2,INDIRECT(C3&amp;"Table"&amp;"[Name]"),0),COLUMN(INDIRECT(C3&amp;"Table"&amp;"["&amp;B5&amp;"]"))),0)</f>
        <v>200</v>
      </c>
      <c r="D5" s="72" t="n">
        <f aca="true">IFERROR(INDEX(INDIRECT(D3&amp;"Table"),MATCH(D4,INDIRECT(D3&amp;"Table"&amp;"[Name]"),0),COLUMN(INDIRECT(D3&amp;"Table"&amp;"["&amp;B5&amp;"]"))),0)</f>
        <v>0</v>
      </c>
      <c r="E5" s="72" t="n">
        <f aca="true">IFERROR(INDEX(INDIRECT(E3&amp;"Table"),MATCH(E4,INDIRECT(E3&amp;"Table"&amp;"[Name]"),0),COLUMN(INDIRECT(E3&amp;"Table"&amp;"["&amp;B5&amp;"]"))),0)</f>
        <v>0</v>
      </c>
      <c r="F5" s="72" t="n">
        <f aca="true">IFERROR(INDEX(INDIRECT(F3&amp;"Table"),MATCH(F4,INDIRECT(F3&amp;"Table"&amp;"[Name]"),0),COLUMN(INDIRECT(F3&amp;"Table"&amp;"["&amp;B5&amp;"]"))),0)</f>
        <v>0</v>
      </c>
      <c r="G5" s="72" t="n">
        <f aca="true">IFERROR(INDEX(INDIRECT(G3&amp;"Table"),MATCH(G4,INDIRECT(G3&amp;"Table"&amp;"[Name]"),0),COLUMN(INDIRECT(G3&amp;"Table"&amp;"["&amp;B5&amp;"]"))),0)</f>
        <v>0</v>
      </c>
      <c r="H5" s="72" t="n">
        <f aca="true">IFERROR(INDEX(INDIRECT(G3&amp;"Table"),MATCH(G4,INDIRECT(G3&amp;"Table"&amp;"[Name]"),0),COLUMN(INDIRECT(G3&amp;"Table"&amp;"["&amp;B5&amp;"]"))),0)</f>
        <v>0</v>
      </c>
      <c r="I5" s="12"/>
      <c r="J5" s="67"/>
      <c r="K5" s="68" t="s">
        <v>140</v>
      </c>
      <c r="L5" s="70" t="n">
        <f aca="false">Z26*$Y$18+R5+Z28+Z29</f>
        <v>44084.8406912591</v>
      </c>
      <c r="M5" s="70"/>
      <c r="N5" s="70" t="n">
        <f aca="false">L5/$AD$7/$Y$18</f>
        <v>1763.39362765036</v>
      </c>
      <c r="O5" s="70"/>
      <c r="P5" s="70" t="n">
        <f aca="false">N5*$Y$18</f>
        <v>1763.39362765036</v>
      </c>
      <c r="Q5" s="70"/>
      <c r="R5" s="70" t="n">
        <f aca="false">(AB33+$AB$35+$AB$36)*$Y$18</f>
        <v>8803.80640305622</v>
      </c>
      <c r="S5" s="64"/>
      <c r="T5" s="30"/>
      <c r="U5" s="30"/>
      <c r="V5" s="45"/>
      <c r="W5" s="104" t="s">
        <v>138</v>
      </c>
      <c r="X5" s="27" t="n">
        <f aca="true">IFERROR(INDEX(INDIRECT(F3&amp;"Coef"),MATCH(X4,INDIRECT(F3&amp;"Coef"&amp;"[Ammo]"),0),COLUMN(INDIRECT(F3&amp;"Coef"&amp;"["&amp;W5&amp;"]"))),0)</f>
        <v>0.8</v>
      </c>
      <c r="Y5" s="27" t="n">
        <f aca="true">IFERROR(INDEX(INDIRECT(G3&amp;"Coef"),MATCH(Y4,INDIRECT(G3&amp;"Coef"&amp;"[Ammo]"),0),COLUMN(INDIRECT(G3&amp;"Coef"&amp;"["&amp;W5&amp;"]"))),0)</f>
        <v>0.8</v>
      </c>
      <c r="Z5" s="27" t="n">
        <f aca="true">IFERROR(INDEX(INDIRECT(H3&amp;"Coef"),MATCH(Z4,INDIRECT(H3&amp;"Coef"&amp;"[Ammo]"),0),COLUMN(INDIRECT(H3&amp;"Coef"&amp;"["&amp;W5&amp;"]"))),0)</f>
        <v>1.2</v>
      </c>
      <c r="AA5" s="11"/>
      <c r="AB5" s="104" t="s">
        <v>336</v>
      </c>
      <c r="AC5" s="27"/>
      <c r="AD5" s="27" t="n">
        <f aca="false">IF(C2="Surcouf",17,5)</f>
        <v>5</v>
      </c>
      <c r="AE5" s="45"/>
      <c r="AF5" s="45"/>
      <c r="AG5" s="45"/>
    </row>
    <row r="6" customFormat="false" ht="14.4" hidden="false" customHeight="false" outlineLevel="0" collapsed="false">
      <c r="A6" s="1"/>
      <c r="B6" s="20" t="s">
        <v>45</v>
      </c>
      <c r="C6" s="72" t="n">
        <f aca="true">IFERROR(INDEX(INDIRECT(C3&amp;"Table"),MATCH(C2,INDIRECT(C3&amp;"Table"&amp;"[Name]"),0),COLUMN(INDIRECT(C3&amp;"Table"&amp;"["&amp;B6&amp;"]"))),0)</f>
        <v>2165</v>
      </c>
      <c r="D6" s="72" t="n">
        <f aca="true">IFERROR(INDEX(INDIRECT(D3&amp;"Table"),MATCH(D4,INDIRECT(D3&amp;"Table"&amp;"[Name]"),0),COLUMN(INDIRECT(D3&amp;"Table"&amp;"["&amp;B6&amp;"]"))),0)</f>
        <v>0</v>
      </c>
      <c r="E6" s="72" t="n">
        <f aca="true">IFERROR(INDEX(INDIRECT(E3&amp;"Table"),MATCH(E4,INDIRECT(E3&amp;"Table"&amp;"[Name]"),0),COLUMN(INDIRECT(E3&amp;"Table"&amp;"["&amp;B6&amp;"]"))),0)</f>
        <v>0</v>
      </c>
      <c r="F6" s="72" t="n">
        <f aca="true">IFERROR(INDEX(INDIRECT(F3&amp;"Table"),MATCH(F4,INDIRECT(F3&amp;"Table"&amp;"[Name]"),0),COLUMN(INDIRECT(F3&amp;"Table"&amp;"["&amp;B6&amp;"]"))),0)</f>
        <v>0</v>
      </c>
      <c r="G6" s="72" t="n">
        <f aca="true">IFERROR(INDEX(INDIRECT(G3&amp;"Table"),MATCH(G4,INDIRECT(G3&amp;"Table"&amp;"[Name]"),0),COLUMN(INDIRECT(G3&amp;"Table"&amp;"["&amp;B6&amp;"]"))),0)</f>
        <v>0</v>
      </c>
      <c r="H6" s="72" t="n">
        <f aca="true">IFERROR(INDEX(INDIRECT(G3&amp;"Table"),MATCH(G4,INDIRECT(G3&amp;"Table"&amp;"[Name]"),0),COLUMN(INDIRECT(G3&amp;"Table"&amp;"["&amp;B6&amp;"]"))),0)</f>
        <v>0</v>
      </c>
      <c r="I6" s="12"/>
      <c r="J6" s="67"/>
      <c r="K6" s="68" t="s">
        <v>142</v>
      </c>
      <c r="L6" s="70" t="n">
        <f aca="false">Z27*$Y$18+R6+Z28+Z29</f>
        <v>57247.3316098648</v>
      </c>
      <c r="M6" s="70"/>
      <c r="N6" s="70" t="n">
        <f aca="false">L6/$AD$7/$Y$18</f>
        <v>2289.89326439459</v>
      </c>
      <c r="O6" s="70"/>
      <c r="P6" s="70" t="n">
        <f aca="false">N6*$Y$18</f>
        <v>2289.89326439459</v>
      </c>
      <c r="Q6" s="70"/>
      <c r="R6" s="70" t="n">
        <f aca="false">(AB34+$AB$35+$AB$36)*$Y$18</f>
        <v>11444.9483239731</v>
      </c>
      <c r="S6" s="64"/>
      <c r="T6" s="30"/>
      <c r="U6" s="30"/>
      <c r="V6" s="45"/>
      <c r="W6" s="104" t="s">
        <v>140</v>
      </c>
      <c r="X6" s="27" t="n">
        <f aca="true">IFERROR(INDEX(INDIRECT(F3&amp;"Coef"),MATCH(X4,INDIRECT(F3&amp;"Coef"&amp;"[Ammo]"),0),COLUMN(INDIRECT(F3&amp;"Coef"&amp;"["&amp;W6&amp;"]"))),0)</f>
        <v>1</v>
      </c>
      <c r="Y6" s="27" t="n">
        <f aca="true">IFERROR(INDEX(INDIRECT(G3&amp;"Coef"),MATCH(Y4,INDIRECT(G3&amp;"Coef"&amp;"[Ammo]"),0),COLUMN(INDIRECT(G3&amp;"Coef"&amp;"["&amp;W6&amp;"]"))),0)</f>
        <v>1</v>
      </c>
      <c r="Z6" s="27" t="n">
        <f aca="true">IFERROR(INDEX(INDIRECT(H3&amp;"Coef"),MATCH(Z4,INDIRECT(H3&amp;"Coef"&amp;"[Ammo]"),0),COLUMN(INDIRECT(H3&amp;"Coef"&amp;"["&amp;W6&amp;"]"))),0)</f>
        <v>0.6</v>
      </c>
      <c r="AA6" s="11"/>
      <c r="AB6" s="104" t="s">
        <v>337</v>
      </c>
      <c r="AC6" s="27"/>
      <c r="AD6" s="27" t="n">
        <f aca="false">G20/10</f>
        <v>20</v>
      </c>
      <c r="AE6" s="45"/>
      <c r="AF6" s="45"/>
      <c r="AG6" s="45"/>
    </row>
    <row r="7" customFormat="false" ht="14.4" hidden="false" customHeight="false" outlineLevel="0" collapsed="false">
      <c r="A7" s="1"/>
      <c r="B7" s="20" t="s">
        <v>98</v>
      </c>
      <c r="C7" s="72" t="n">
        <f aca="true">IFERROR(INDEX(INDIRECT(C3&amp;"Table"),MATCH(C2,INDIRECT(C3&amp;"Table"&amp;"[Name]"),0),COLUMN(INDIRECT(C3&amp;"Table"&amp;"["&amp;B7&amp;"]"))),0)</f>
        <v>59</v>
      </c>
      <c r="D7" s="72" t="n">
        <f aca="true">IFERROR(INDEX(INDIRECT(D3&amp;"Table"),MATCH(D4,INDIRECT(D3&amp;"Table"&amp;"[Name]"),0),COLUMN(INDIRECT(D3&amp;"Table"&amp;"["&amp;B7&amp;"]"))),0)</f>
        <v>0</v>
      </c>
      <c r="E7" s="72" t="n">
        <f aca="true">IFERROR(INDEX(INDIRECT(E3&amp;"Table"),MATCH(E4,INDIRECT(E3&amp;"Table"&amp;"[Name]"),0),COLUMN(INDIRECT(E3&amp;"Table"&amp;"["&amp;B7&amp;"]"))),0)</f>
        <v>0</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20</v>
      </c>
      <c r="I7" s="12"/>
      <c r="J7" s="64"/>
      <c r="K7" s="64"/>
      <c r="L7" s="64"/>
      <c r="M7" s="64"/>
      <c r="N7" s="64"/>
      <c r="O7" s="64"/>
      <c r="P7" s="64"/>
      <c r="Q7" s="64"/>
      <c r="R7" s="64"/>
      <c r="S7" s="64"/>
      <c r="T7" s="64"/>
      <c r="U7" s="30"/>
      <c r="V7" s="45"/>
      <c r="W7" s="104" t="s">
        <v>142</v>
      </c>
      <c r="X7" s="27" t="n">
        <f aca="true">IFERROR(INDEX(INDIRECT(F3&amp;"Coef"),MATCH(X4,INDIRECT(F3&amp;"Coef"&amp;"[Ammo]"),0),COLUMN(INDIRECT(F3&amp;"Coef"&amp;"["&amp;W7&amp;"]"))),0)</f>
        <v>1.3</v>
      </c>
      <c r="Y7" s="27" t="n">
        <f aca="true">IFERROR(INDEX(INDIRECT(G3&amp;"Coef"),MATCH(Y4,INDIRECT(G3&amp;"Coef"&amp;"[Ammo]"),0),COLUMN(INDIRECT(G3&amp;"Coef"&amp;"["&amp;W7&amp;"]"))),0)</f>
        <v>1.3</v>
      </c>
      <c r="Z7" s="27" t="n">
        <f aca="true">IFERROR(INDEX(INDIRECT(H3&amp;"Coef"),MATCH(Z4,INDIRECT(H3&amp;"Coef"&amp;"[Ammo]"),0),COLUMN(INDIRECT(H3&amp;"Coef"&amp;"["&amp;W7&amp;"]"))),0)</f>
        <v>0.6</v>
      </c>
      <c r="AA7" s="11"/>
      <c r="AB7" s="104" t="s">
        <v>338</v>
      </c>
      <c r="AC7" s="27"/>
      <c r="AD7" s="27" t="n">
        <f aca="false">SUM(AD5:AD6)</f>
        <v>25</v>
      </c>
      <c r="AE7" s="45"/>
      <c r="AF7" s="45"/>
      <c r="AG7" s="45"/>
    </row>
    <row r="8" customFormat="false" ht="14.4" hidden="false" customHeight="false" outlineLevel="0" collapsed="false">
      <c r="A8" s="1"/>
      <c r="B8" s="20" t="s">
        <v>99</v>
      </c>
      <c r="C8" s="72" t="n">
        <f aca="true">IFERROR(INDEX(INDIRECT(C3&amp;"Table"),MATCH(C2,INDIRECT(C3&amp;"Table"&amp;"[Name]"),0),COLUMN(INDIRECT(C3&amp;"Table"&amp;"["&amp;B8&amp;"]"))),0)</f>
        <v>549</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45</v>
      </c>
      <c r="G8" s="72" t="n">
        <f aca="true">IFERROR(INDEX(INDIRECT(G3&amp;"Table"),MATCH(G4,INDIRECT(G3&amp;"Table"&amp;"[Name]"),0),COLUMN(INDIRECT(G3&amp;"Table"&amp;"["&amp;B8&amp;"]"))),0)</f>
        <v>45</v>
      </c>
      <c r="H8" s="72" t="n">
        <f aca="true">IFERROR(INDEX(INDIRECT(H3&amp;"Table"),MATCH(H4,INDIRECT(H3&amp;"Table"&amp;"[Name]"),0),COLUMN(INDIRECT(H3&amp;"Table"&amp;"["&amp;B8&amp;"]"))),0)</f>
        <v>0</v>
      </c>
      <c r="I8" s="12"/>
      <c r="J8" s="67" t="s">
        <v>144</v>
      </c>
      <c r="K8" s="68"/>
      <c r="L8" s="70" t="n">
        <f aca="false">Y16</f>
        <v>21650</v>
      </c>
      <c r="M8" s="64"/>
      <c r="N8" s="64"/>
      <c r="O8" s="64"/>
      <c r="P8" s="64"/>
      <c r="Q8" s="64"/>
      <c r="R8" s="64"/>
      <c r="S8" s="64"/>
      <c r="T8" s="64"/>
      <c r="U8" s="30"/>
      <c r="V8" s="45"/>
      <c r="W8" s="104" t="s">
        <v>339</v>
      </c>
      <c r="X8" s="27" t="n">
        <f aca="false">F18*L20+MIN(FLOOR((MAX(AD7-(AD8+(F18*0.75)),0))/0.75,1),F18*L20)+MIN(FLOOR((MAX(AD7-(AD8*2+(F18*0.75)),0))/0.75,1),F18*L20)</f>
        <v>8</v>
      </c>
      <c r="Y8" s="27" t="n">
        <f aca="false">G18*L20+MIN(FLOOR((MAX(AD7-(AD9+(F18*0.75)+(G18*0.75)),0))/0.75,1),G18*L20)+MIN(FLOOR((MAX(AD7-(AD9*2+(F18*0.75)+(G18*0.75)),0))/0.75,1),G18*L20)</f>
        <v>6</v>
      </c>
      <c r="Z8" s="27" t="n">
        <v>0</v>
      </c>
      <c r="AA8" s="11"/>
      <c r="AB8" s="104" t="s">
        <v>340</v>
      </c>
      <c r="AC8" s="27"/>
      <c r="AD8" s="27" t="n">
        <f aca="false">L22*F19</f>
        <v>13.6425453445558</v>
      </c>
      <c r="AE8" s="45"/>
      <c r="AF8" s="45"/>
      <c r="AG8" s="45"/>
    </row>
    <row r="9" customFormat="false" ht="14.4" hidden="false" customHeight="false" outlineLevel="0" collapsed="false">
      <c r="A9" s="1"/>
      <c r="B9" s="20" t="s">
        <v>50</v>
      </c>
      <c r="C9" s="72" t="n">
        <f aca="true">IFERROR(INDEX(INDIRECT(C3&amp;"Table"),MATCH(C2,INDIRECT(C3&amp;"Table"&amp;"[Name]"),0),COLUMN(INDIRECT(C3&amp;"Table"&amp;"["&amp;B9&amp;"]"))),0)</f>
        <v>0</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0</v>
      </c>
      <c r="G9" s="72" t="n">
        <f aca="true">IFERROR(INDEX(INDIRECT(G3&amp;"Table"),MATCH(G4,INDIRECT(G3&amp;"Table"&amp;"[Name]"),0),COLUMN(INDIRECT(G3&amp;"Table"&amp;"["&amp;B9&amp;"]"))),0)</f>
        <v>0</v>
      </c>
      <c r="H9" s="72" t="n">
        <f aca="true">IFERROR(INDEX(INDIRECT(H3&amp;"Table"),MATCH(H4,INDIRECT(H3&amp;"Table"&amp;"[Name]"),0),COLUMN(INDIRECT(H3&amp;"Table"&amp;"["&amp;B9&amp;"]"))),0)</f>
        <v>25</v>
      </c>
      <c r="I9" s="12"/>
      <c r="J9" s="67" t="s">
        <v>148</v>
      </c>
      <c r="K9" s="68"/>
      <c r="L9" s="44" t="n">
        <f aca="false">Y18</f>
        <v>1</v>
      </c>
      <c r="M9" s="64"/>
      <c r="N9" s="67" t="s">
        <v>341</v>
      </c>
      <c r="O9" s="136"/>
      <c r="P9" s="70" t="n">
        <f aca="false">F19*L22</f>
        <v>13.6425453445558</v>
      </c>
      <c r="Q9" s="76"/>
      <c r="R9" s="27" t="str">
        <f aca="false">F4</f>
        <v>Type 95 Oxygen Torpedo</v>
      </c>
      <c r="S9" s="27"/>
      <c r="T9" s="27"/>
      <c r="U9" s="30"/>
      <c r="V9" s="45"/>
      <c r="W9" s="104"/>
      <c r="X9" s="27"/>
      <c r="Y9" s="27"/>
      <c r="Z9" s="27"/>
      <c r="AA9" s="11"/>
      <c r="AB9" s="104" t="s">
        <v>342</v>
      </c>
      <c r="AC9" s="27"/>
      <c r="AD9" s="27" t="n">
        <f aca="false">L22*G19</f>
        <v>22.9489433307941</v>
      </c>
      <c r="AE9" s="45"/>
      <c r="AF9" s="45"/>
      <c r="AG9" s="45"/>
    </row>
    <row r="10" customFormat="false" ht="14.4" hidden="false" customHeight="false" outlineLevel="0" collapsed="false">
      <c r="A10" s="1"/>
      <c r="B10" s="20" t="s">
        <v>100</v>
      </c>
      <c r="C10" s="72" t="n">
        <f aca="true">IFERROR(INDEX(INDIRECT(C3&amp;"Table"),MATCH(C2,INDIRECT(C3&amp;"Table"&amp;"[Name]"),0),COLUMN(INDIRECT(C3&amp;"Table"&amp;"["&amp;B10&amp;"]"))),0)</f>
        <v>110</v>
      </c>
      <c r="D10" s="72" t="n">
        <f aca="true">IFERROR(INDEX(INDIRECT(D3&amp;"Table"),MATCH(D4,INDIRECT(D3&amp;"Table"&amp;"[Name]"),0),COLUMN(INDIRECT(D3&amp;"Table"&amp;"["&amp;B10&amp;"]"))),0)</f>
        <v>10</v>
      </c>
      <c r="E10" s="72" t="n">
        <f aca="true">IFERROR(INDEX(INDIRECT(E3&amp;"Table"),MATCH(E4,INDIRECT(E3&amp;"Table"&amp;"[Name]"),0),COLUMN(INDIRECT(E3&amp;"Table"&amp;"["&amp;B10&amp;"]"))),0)</f>
        <v>10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0</v>
      </c>
      <c r="I10" s="12"/>
      <c r="J10" s="67" t="s">
        <v>153</v>
      </c>
      <c r="K10" s="68"/>
      <c r="L10" s="44" t="n">
        <f aca="false">Y20</f>
        <v>0.1</v>
      </c>
      <c r="M10" s="64"/>
      <c r="N10" s="67" t="s">
        <v>343</v>
      </c>
      <c r="O10" s="78"/>
      <c r="P10" s="70" t="n">
        <f aca="false">G19*L22</f>
        <v>22.9489433307941</v>
      </c>
      <c r="Q10" s="76"/>
      <c r="R10" s="27" t="str">
        <f aca="false">G4</f>
        <v>Mark 16 Torpedo</v>
      </c>
      <c r="S10" s="27"/>
      <c r="T10" s="27" t="str">
        <f aca="false">D4</f>
        <v>Type 93 Rainbow</v>
      </c>
      <c r="U10" s="30"/>
      <c r="V10" s="45"/>
      <c r="W10" s="104" t="s">
        <v>188</v>
      </c>
      <c r="X10" s="27"/>
      <c r="Y10" s="44" t="n">
        <f aca="false">1+(0.05+((SUM(C16:H16)*P16)/(SUM(C16:H16)*P16+2000+T16))+((SUM(C15:H15)-T14)/5000)+Y13)*(L16+Y12+L17)</f>
        <v>1.06607050691244</v>
      </c>
      <c r="Z10" s="27"/>
      <c r="AA10" s="63"/>
      <c r="AB10" s="11"/>
      <c r="AC10" s="11"/>
      <c r="AD10" s="11"/>
      <c r="AE10" s="45"/>
      <c r="AF10" s="45"/>
      <c r="AG10" s="45"/>
    </row>
    <row r="11" customFormat="false" ht="14.4" hidden="false" customHeight="false" outlineLevel="0" collapsed="false">
      <c r="A11" s="1"/>
      <c r="B11" s="20" t="s">
        <v>151</v>
      </c>
      <c r="C11" s="72" t="n">
        <f aca="true">IFERROR(INDEX(INDIRECT(C3&amp;"Table"),MATCH(C2,INDIRECT(C3&amp;"Table"&amp;"[Name]"),0),COLUMN(INDIRECT(C3&amp;"Table"&amp;"["&amp;B11&amp;"]"))),0)</f>
        <v>1.35</v>
      </c>
      <c r="D11" s="72" t="n">
        <f aca="true">IFERROR(INDEX(INDIRECT(D3&amp;"Table"),MATCH(D4,INDIRECT(D3&amp;"Table"&amp;"[Name]"),0),COLUMN(INDIRECT(D3&amp;"Table"&amp;"["&amp;B11&amp;"]"))),0)</f>
        <v>0</v>
      </c>
      <c r="E11" s="72" t="n">
        <f aca="true">IFERROR(INDEX(INDIRECT(E3&amp;"Table"),MATCH(E4,INDIRECT(E3&amp;"Table"&amp;"[Name]"),0),COLUMN(INDIRECT(E3&amp;"Table"&amp;"["&amp;B11&amp;"]"))),0)</f>
        <v>0</v>
      </c>
      <c r="F11" s="72" t="n">
        <f aca="true">IFERROR(INDEX(INDIRECT(F3&amp;"Table"),MATCH(F4,INDIRECT(F3&amp;"Table"&amp;"[Name]"),0),COLUMN(INDIRECT(F3&amp;"Table"&amp;"["&amp;B11&amp;"]"))),0)</f>
        <v>0</v>
      </c>
      <c r="G11" s="72" t="n">
        <f aca="true">IFERROR(INDEX(INDIRECT(G3&amp;"Table"),MATCH(G4,INDIRECT(G3&amp;"Table"&amp;"[Name]"),0),COLUMN(INDIRECT(G3&amp;"Table"&amp;"["&amp;B11&amp;"]"))),0)</f>
        <v>0</v>
      </c>
      <c r="H11" s="72" t="n">
        <f aca="true">IFERROR(INDEX(INDIRECT(H3&amp;"Table"),MATCH(H4,INDIRECT(H3&amp;"Table"&amp;"[Name]"),0),COLUMN(INDIRECT(H3&amp;"Table"&amp;"["&amp;B11&amp;"]"))),0)</f>
        <v>1.1</v>
      </c>
      <c r="I11" s="12"/>
      <c r="J11" s="67" t="s">
        <v>344</v>
      </c>
      <c r="K11" s="68"/>
      <c r="L11" s="70" t="n">
        <f aca="false">AD7</f>
        <v>25</v>
      </c>
      <c r="M11" s="64"/>
      <c r="N11" s="67" t="s">
        <v>345</v>
      </c>
      <c r="O11" s="78"/>
      <c r="P11" s="70" t="n">
        <f aca="false">H19*L22</f>
        <v>1.42673235660768</v>
      </c>
      <c r="Q11" s="76"/>
      <c r="R11" s="27" t="str">
        <f aca="false">H4</f>
        <v>2x127mm (Mk 12)</v>
      </c>
      <c r="S11" s="27"/>
      <c r="T11" s="27" t="str">
        <f aca="false">E4</f>
        <v>Type 93 Rainbow</v>
      </c>
      <c r="U11" s="30"/>
      <c r="V11" s="45"/>
      <c r="W11" s="104" t="s">
        <v>183</v>
      </c>
      <c r="X11" s="27"/>
      <c r="Y11" s="44" t="n">
        <f aca="false">1+(0.05+((SUM(C16:H16)*P16)/(SUM(C16:H16)*P16+2000+T16))+((SUM(C15:H15)-T14)/5000)+Y13)*(L16+Y12+L18)</f>
        <v>1.06607050691244</v>
      </c>
      <c r="Z11" s="27"/>
      <c r="AA11" s="63"/>
      <c r="AB11" s="11"/>
      <c r="AC11" s="11"/>
      <c r="AD11" s="11"/>
      <c r="AE11" s="45"/>
      <c r="AF11" s="45"/>
      <c r="AG11" s="45"/>
    </row>
    <row r="12" customFormat="false" ht="14.4" hidden="false" customHeight="false" outlineLevel="0" collapsed="false">
      <c r="A12" s="1"/>
      <c r="B12" s="20" t="s">
        <v>155</v>
      </c>
      <c r="C12" s="72" t="n">
        <f aca="true">IFERROR(INDEX(INDIRECT(C3&amp;"Table"),MATCH(C2,INDIRECT(C3&amp;"Table"&amp;"[Name]"),0),COLUMN(INDIRECT(C3&amp;"Table"&amp;"["&amp;B12&amp;"]"))),0)</f>
        <v>1.15</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f>
        <v>0</v>
      </c>
      <c r="I12" s="12"/>
      <c r="J12" s="58"/>
      <c r="K12" s="58"/>
      <c r="L12" s="58"/>
      <c r="M12" s="58"/>
      <c r="N12" s="58"/>
      <c r="O12" s="58"/>
      <c r="P12" s="58"/>
      <c r="Q12" s="58"/>
      <c r="R12" s="58"/>
      <c r="S12" s="58"/>
      <c r="T12" s="58"/>
      <c r="U12" s="58"/>
      <c r="V12" s="45"/>
      <c r="W12" s="104" t="s">
        <v>168</v>
      </c>
      <c r="X12" s="27"/>
      <c r="Y12" s="27" t="n">
        <f aca="true">IFERROR(INDEX(INDIRECT(D3&amp;"Table"),MATCH(D4,INDIRECT(D3&amp;"Table"&amp;"[Name]"),0),COLUMN(INDIRECT(D3&amp;"Table"&amp;"[CritDamage]"))),0)+IFERROR(INDEX(INDIRECT(E3&amp;"Table"),MATCH(E4,INDIRECT(E3&amp;"Table"&amp;"[Name]"),0),COLUMN(INDIRECT(E3&amp;"Table"&amp;"[CritDamage]"))),0)</f>
        <v>0</v>
      </c>
      <c r="Z12" s="27"/>
      <c r="AA12" s="63"/>
      <c r="AB12" s="11"/>
      <c r="AC12" s="11"/>
      <c r="AD12" s="11"/>
      <c r="AE12" s="45"/>
      <c r="AF12" s="45"/>
      <c r="AG12" s="45"/>
    </row>
    <row r="13" customFormat="false" ht="14.4" hidden="false" customHeight="false" outlineLevel="0" collapsed="false">
      <c r="A13" s="1"/>
      <c r="B13" s="20" t="s">
        <v>346</v>
      </c>
      <c r="C13" s="72" t="n">
        <f aca="true">IFERROR(INDEX(INDIRECT(C3&amp;"Table"),MATCH(C2,INDIRECT(C3&amp;"Table"&amp;"[Name]"),0),COLUMN(INDIRECT(C3&amp;"Table"&amp;"["&amp;B13&amp;"]"))),0)</f>
        <v>0.8</v>
      </c>
      <c r="D13" s="72" t="n">
        <v>0</v>
      </c>
      <c r="E13" s="72" t="n">
        <v>0</v>
      </c>
      <c r="F13" s="72" t="n">
        <v>0</v>
      </c>
      <c r="G13" s="72" t="n">
        <v>0</v>
      </c>
      <c r="H13" s="72" t="n">
        <v>0</v>
      </c>
      <c r="I13" s="87"/>
      <c r="J13" s="13" t="s">
        <v>61</v>
      </c>
      <c r="K13" s="13"/>
      <c r="L13" s="13"/>
      <c r="M13" s="13"/>
      <c r="N13" s="13"/>
      <c r="O13" s="13"/>
      <c r="P13" s="13"/>
      <c r="Q13" s="13"/>
      <c r="R13" s="13"/>
      <c r="S13" s="13"/>
      <c r="T13" s="13"/>
      <c r="U13" s="13"/>
      <c r="V13" s="58"/>
      <c r="W13" s="104" t="s">
        <v>172</v>
      </c>
      <c r="X13" s="27"/>
      <c r="Y13" s="44" t="n">
        <f aca="true">IFERROR(INDEX(INDIRECT(D3&amp;"Table"),MATCH(D4,INDIRECT(D3&amp;"Table"&amp;"[Name]"),0),COLUMN(INDIRECT(D3&amp;"Table"&amp;"[Crit%]"))),0)+IFERROR(INDEX(INDIRECT(E3&amp;"Table"),MATCH(E4,INDIRECT(E3&amp;"Table"&amp;"[Name]"),0),COLUMN(INDIRECT(E3&amp;"Table"&amp;"[Crit%]"))),0)</f>
        <v>0</v>
      </c>
      <c r="Z13" s="27"/>
      <c r="AA13" s="63"/>
      <c r="AB13" s="11"/>
      <c r="AC13" s="11"/>
      <c r="AD13" s="11"/>
      <c r="AE13" s="45"/>
      <c r="AF13" s="45"/>
      <c r="AG13" s="45"/>
    </row>
    <row r="14" customFormat="false" ht="14.4" hidden="false" customHeight="false" outlineLevel="0" collapsed="false">
      <c r="A14" s="1"/>
      <c r="B14" s="20" t="s">
        <v>46</v>
      </c>
      <c r="C14" s="72" t="n">
        <f aca="true">IFERROR(INDEX(INDIRECT(C3&amp;"Table"),MATCH(C2,INDIRECT(C3&amp;"Table"&amp;"[Name]"),0),COLUMN(INDIRECT(C3&amp;"Table"&amp;"["&amp;B14&amp;"]"))),0)</f>
        <v>45</v>
      </c>
      <c r="D14" s="72" t="n">
        <f aca="true">IFERROR(INDEX(INDIRECT(D3&amp;"Table"),MATCH(D4,INDIRECT(D3&amp;"Table"&amp;"[Name]"),0),COLUMN(INDIRECT(D3&amp;"Table"&amp;"["&amp;B14&amp;"]"))),0)</f>
        <v>0</v>
      </c>
      <c r="E14" s="72" t="n">
        <f aca="true">IFERROR(INDEX(INDIRECT(E3&amp;"Table"),MATCH(E4,INDIRECT(E3&amp;"Table"&amp;"[Name]"),0),COLUMN(INDIRECT(E3&amp;"Table"&amp;"["&amp;B14&amp;"]"))),0)</f>
        <v>0</v>
      </c>
      <c r="F14" s="72" t="n">
        <f aca="true">IFERROR(INDEX(INDIRECT(F3&amp;"Table"),MATCH(F4,INDIRECT(F3&amp;"Table"&amp;"[Name]"),0),COLUMN(INDIRECT(F3&amp;"Table"&amp;"["&amp;B14&amp;"]"))),0)</f>
        <v>0</v>
      </c>
      <c r="G14" s="72" t="n">
        <f aca="true">IFERROR(INDEX(INDIRECT(G3&amp;"Table"),MATCH(G4,INDIRECT(G3&amp;"Table"&amp;"[Name]"),0),COLUMN(INDIRECT(G3&amp;"Table"&amp;"["&amp;B14&amp;"]"))),0)</f>
        <v>0</v>
      </c>
      <c r="H14" s="72" t="n">
        <f aca="true">IFERROR(INDEX(INDIRECT(H3&amp;"Table"),MATCH(H4,INDIRECT(H3&amp;"Table"&amp;"[Name]"),0),COLUMN(INDIRECT(H3&amp;"Table"&amp;"["&amp;B14&amp;"]"))),0)</f>
        <v>0</v>
      </c>
      <c r="I14" s="12"/>
      <c r="J14" s="17" t="s">
        <v>158</v>
      </c>
      <c r="K14" s="14"/>
      <c r="L14" s="30" t="n">
        <v>0</v>
      </c>
      <c r="M14" s="64"/>
      <c r="N14" s="82" t="s">
        <v>160</v>
      </c>
      <c r="O14" s="137"/>
      <c r="P14" s="138" t="n">
        <v>1</v>
      </c>
      <c r="Q14" s="64"/>
      <c r="R14" s="82" t="s">
        <v>70</v>
      </c>
      <c r="S14" s="82"/>
      <c r="T14" s="30" t="n">
        <v>0</v>
      </c>
      <c r="U14" s="64"/>
      <c r="V14" s="58"/>
      <c r="W14" s="104"/>
      <c r="X14" s="27"/>
      <c r="Y14" s="27"/>
      <c r="Z14" s="27"/>
      <c r="AA14" s="11"/>
      <c r="AB14" s="11"/>
      <c r="AC14" s="11"/>
      <c r="AD14" s="11"/>
      <c r="AE14" s="45"/>
      <c r="AF14" s="45"/>
      <c r="AG14" s="45"/>
    </row>
    <row r="15" customFormat="false" ht="14.4" hidden="false" customHeight="false" outlineLevel="0" collapsed="false">
      <c r="A15" s="1"/>
      <c r="B15" s="20" t="s">
        <v>52</v>
      </c>
      <c r="C15" s="72" t="n">
        <f aca="true">IFERROR(INDEX(INDIRECT(C3&amp;"Table"),MATCH(C2,INDIRECT(C3&amp;"Table"&amp;"[Name]"),0),COLUMN(INDIRECT(C3&amp;"Table"&amp;"["&amp;B15&amp;"]"))),0)</f>
        <v>19</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0</v>
      </c>
      <c r="I15" s="12"/>
      <c r="J15" s="17" t="s">
        <v>164</v>
      </c>
      <c r="K15" s="14"/>
      <c r="L15" s="30" t="n">
        <v>0</v>
      </c>
      <c r="M15" s="64"/>
      <c r="N15" s="82" t="s">
        <v>166</v>
      </c>
      <c r="O15" s="1"/>
      <c r="P15" s="138" t="n">
        <v>1</v>
      </c>
      <c r="Q15" s="64"/>
      <c r="R15" s="82" t="s">
        <v>64</v>
      </c>
      <c r="S15" s="82"/>
      <c r="T15" s="30" t="n">
        <v>0</v>
      </c>
      <c r="U15" s="64"/>
      <c r="V15" s="58"/>
      <c r="W15" s="104" t="s">
        <v>218</v>
      </c>
      <c r="X15" s="27"/>
      <c r="Y15" s="27" t="n">
        <f aca="false">SUM(C6:H6)</f>
        <v>2165</v>
      </c>
      <c r="Z15" s="27"/>
      <c r="AA15" s="63"/>
      <c r="AB15" s="11"/>
      <c r="AC15" s="11"/>
      <c r="AD15" s="11"/>
      <c r="AE15" s="45"/>
      <c r="AF15" s="45"/>
      <c r="AG15" s="45"/>
    </row>
    <row r="16" customFormat="false" ht="14.4" hidden="false" customHeight="false" outlineLevel="0" collapsed="false">
      <c r="A16" s="1"/>
      <c r="B16" s="20" t="s">
        <v>101</v>
      </c>
      <c r="C16" s="72" t="n">
        <f aca="true">IFERROR(INDEX(INDIRECT(C3&amp;"Table"),MATCH(C2,INDIRECT(C3&amp;"Table"&amp;"[Name]"),0),COLUMN(INDIRECT(C3&amp;"Table"&amp;"["&amp;B16&amp;"]"))),0)</f>
        <v>170</v>
      </c>
      <c r="D16" s="72" t="n">
        <f aca="true">IFERROR(INDEX(INDIRECT(D3&amp;"Table"),MATCH(D4,INDIRECT(D3&amp;"Table"&amp;"[Name]"),0),COLUMN(INDIRECT(D3&amp;"Table"&amp;"["&amp;B16&amp;"]"))),0)</f>
        <v>0</v>
      </c>
      <c r="E16" s="72" t="n">
        <f aca="true">IFERROR(INDEX(INDIRECT(E3&amp;"Table"),MATCH(E4,INDIRECT(E3&amp;"Table"&amp;"[Name]"),0),COLUMN(INDIRECT(E3&amp;"Table"&amp;"["&amp;B16&amp;"]"))),0)</f>
        <v>0</v>
      </c>
      <c r="F16" s="72" t="n">
        <f aca="true">IFERROR(INDEX(INDIRECT(F3&amp;"Table"),MATCH(F4,INDIRECT(F3&amp;"Table"&amp;"[Name]"),0),COLUMN(INDIRECT(F3&amp;"Table"&amp;"["&amp;B16&amp;"]"))),0)</f>
        <v>0</v>
      </c>
      <c r="G16" s="72" t="n">
        <f aca="true">IFERROR(INDEX(INDIRECT(G3&amp;"Table"),MATCH(G4,INDIRECT(G3&amp;"Table"&amp;"[Name]"),0),COLUMN(INDIRECT(G3&amp;"Table"&amp;"["&amp;B16&amp;"]"))),0)</f>
        <v>0</v>
      </c>
      <c r="H16" s="72" t="n">
        <f aca="true">IFERROR(INDEX(INDIRECT(H3&amp;"Table"),MATCH(H4,INDIRECT(H3&amp;"Table"&amp;"[Name]"),0),COLUMN(INDIRECT(H3&amp;"Table"&amp;"["&amp;B16&amp;"]"))),0)</f>
        <v>0</v>
      </c>
      <c r="I16" s="12"/>
      <c r="J16" s="17" t="s">
        <v>169</v>
      </c>
      <c r="K16" s="14"/>
      <c r="L16" s="30" t="n">
        <v>0.5</v>
      </c>
      <c r="M16" s="64"/>
      <c r="N16" s="82" t="s">
        <v>170</v>
      </c>
      <c r="O16" s="139"/>
      <c r="P16" s="138" t="n">
        <v>1</v>
      </c>
      <c r="Q16" s="64"/>
      <c r="R16" s="82" t="s">
        <v>185</v>
      </c>
      <c r="S16" s="82"/>
      <c r="T16" s="30" t="n">
        <v>0</v>
      </c>
      <c r="U16" s="64"/>
      <c r="V16" s="58"/>
      <c r="W16" s="104" t="s">
        <v>219</v>
      </c>
      <c r="X16" s="27"/>
      <c r="Y16" s="27" t="n">
        <f aca="false">Y15/(Y20*(1-T19))</f>
        <v>21650</v>
      </c>
      <c r="Z16" s="27"/>
      <c r="AA16" s="11"/>
      <c r="AB16" s="11"/>
      <c r="AC16" s="11"/>
      <c r="AD16" s="11"/>
      <c r="AE16" s="45"/>
      <c r="AF16" s="45"/>
      <c r="AG16" s="45"/>
    </row>
    <row r="17" customFormat="false" ht="14.4" hidden="false" customHeight="false" outlineLevel="0" collapsed="false">
      <c r="A17" s="1"/>
      <c r="B17" s="20" t="s">
        <v>173</v>
      </c>
      <c r="C17" s="72" t="n">
        <v>0</v>
      </c>
      <c r="D17" s="72" t="n">
        <f aca="true">IFERROR(INDEX(INDIRECT(D3&amp;"Table"),MATCH(D4,INDIRECT(D3&amp;"Table"&amp;"[Name]"),0),COLUMN(INDIRECT(D3&amp;"Table"&amp;"["&amp;B17&amp;"]"))),0)</f>
        <v>0</v>
      </c>
      <c r="E17" s="72" t="n">
        <f aca="true">IFERROR(INDEX(INDIRECT(E3&amp;"Table"),MATCH(E4,INDIRECT(E3&amp;"Table"&amp;"[Name]"),0),COLUMN(INDIRECT(E3&amp;"Table"&amp;"["&amp;B17&amp;"]"))),0)</f>
        <v>0</v>
      </c>
      <c r="F17" s="72" t="n">
        <f aca="true">IFERROR(INDEX(INDIRECT(F3&amp;"Table"),MATCH(F4,INDIRECT(F3&amp;"Table"&amp;"[Name]"),0),COLUMN(INDIRECT(F3&amp;"Table"&amp;"["&amp;B17&amp;"]"))),0)</f>
        <v>174</v>
      </c>
      <c r="G17" s="72" t="n">
        <f aca="true">IFERROR(INDEX(INDIRECT(G3&amp;"Table"),MATCH(G4,INDIRECT(G3&amp;"Table"&amp;"[Name]"),0),COLUMN(INDIRECT(G3&amp;"Table"&amp;"["&amp;B17&amp;"]"))),0)</f>
        <v>181</v>
      </c>
      <c r="H17" s="72" t="n">
        <f aca="true">IFERROR(INDEX(INDIRECT(H3&amp;"Table"),MATCH(H4,INDIRECT(H3&amp;"Table"&amp;"[Name]"),0),COLUMN(INDIRECT(H3&amp;"Table"&amp;"["&amp;B17&amp;"]"))),0)</f>
        <v>15</v>
      </c>
      <c r="I17" s="12"/>
      <c r="J17" s="17" t="s">
        <v>347</v>
      </c>
      <c r="K17" s="14"/>
      <c r="L17" s="30" t="n">
        <v>0</v>
      </c>
      <c r="M17" s="64"/>
      <c r="N17" s="82" t="s">
        <v>175</v>
      </c>
      <c r="O17" s="139"/>
      <c r="P17" s="138" t="n">
        <v>1</v>
      </c>
      <c r="Q17" s="64"/>
      <c r="R17" s="82" t="s">
        <v>316</v>
      </c>
      <c r="S17" s="82"/>
      <c r="T17" s="30" t="n">
        <v>0</v>
      </c>
      <c r="U17" s="64"/>
      <c r="V17" s="58"/>
      <c r="W17" s="104" t="s">
        <v>220</v>
      </c>
      <c r="X17" s="27"/>
      <c r="Y17" s="44" t="n">
        <f aca="false">0.1+(SUM(C16:H16)/(SUM(C16:H16)+2+T16))+((SUM(C15:H15)-T14)/1000)</f>
        <v>1.10737209302326</v>
      </c>
      <c r="Z17" s="27"/>
      <c r="AA17" s="11"/>
      <c r="AB17" s="11"/>
      <c r="AC17" s="11"/>
      <c r="AD17" s="11"/>
      <c r="AE17" s="45"/>
      <c r="AF17" s="45"/>
      <c r="AG17" s="45"/>
    </row>
    <row r="18" customFormat="false" ht="14.4" hidden="false" customHeight="false" outlineLevel="0" collapsed="false">
      <c r="A18" s="1"/>
      <c r="B18" s="20" t="s">
        <v>179</v>
      </c>
      <c r="C18" s="72" t="n">
        <v>0</v>
      </c>
      <c r="D18" s="134" t="n">
        <f aca="true">IFERROR(INDEX(INDIRECT(D3&amp;"Table"),MATCH(D4,INDIRECT(D3&amp;"Table"&amp;"[Name]"),0),COLUMN(INDIRECT(D3&amp;"Table"&amp;"["&amp;B18&amp;"]"))),0)</f>
        <v>0</v>
      </c>
      <c r="E18" s="134" t="n">
        <f aca="true">IFERROR(INDEX(INDIRECT(E3&amp;"Table"),MATCH(E4,INDIRECT(E3&amp;"Table"&amp;"[Name]"),0),COLUMN(INDIRECT(E3&amp;"Table"&amp;"["&amp;B18&amp;"]"))),0)</f>
        <v>0</v>
      </c>
      <c r="F18" s="75" t="n">
        <f aca="true">IFERROR(INDEX(INDIRECT(F3&amp;"Table"),MATCH(F4,INDIRECT(F3&amp;"Table"&amp;"[Name]"),0),COLUMN(INDIRECT(F3&amp;"Table"&amp;"["&amp;B18&amp;"]"))),0)</f>
        <v>2</v>
      </c>
      <c r="G18" s="72" t="n">
        <f aca="true">IFERROR(INDEX(INDIRECT(G3&amp;"Table"),MATCH(G4,INDIRECT(G3&amp;"Table"&amp;"[Name]"),0),COLUMN(INDIRECT(G3&amp;"Table"&amp;"["&amp;B18&amp;"]"))),0)</f>
        <v>3</v>
      </c>
      <c r="H18" s="72" t="n">
        <f aca="true">IFERROR(INDEX(INDIRECT(H3&amp;"Table"),MATCH(H4,INDIRECT(H3&amp;"Table"&amp;"[Name]"),0),COLUMN(INDIRECT(H3&amp;"Table"&amp;"["&amp;B18&amp;"]"))),0)</f>
        <v>4</v>
      </c>
      <c r="I18" s="12"/>
      <c r="J18" s="17" t="s">
        <v>348</v>
      </c>
      <c r="K18" s="14"/>
      <c r="L18" s="30" t="n">
        <v>0</v>
      </c>
      <c r="M18" s="64"/>
      <c r="N18" s="82" t="s">
        <v>349</v>
      </c>
      <c r="O18" s="137"/>
      <c r="P18" s="138" t="n">
        <v>1.12</v>
      </c>
      <c r="Q18" s="64"/>
      <c r="R18" s="82" t="s">
        <v>317</v>
      </c>
      <c r="S18" s="82"/>
      <c r="T18" s="138" t="n">
        <v>1</v>
      </c>
      <c r="U18" s="64"/>
      <c r="V18" s="58"/>
      <c r="W18" s="104" t="s">
        <v>221</v>
      </c>
      <c r="X18" s="27"/>
      <c r="Y18" s="44" t="n">
        <f aca="false">IF(Y17&lt;=0.1, 0.1, IF(Y17&gt;=1, 1, Y17))</f>
        <v>1</v>
      </c>
      <c r="Z18" s="27"/>
      <c r="AA18" s="11"/>
      <c r="AB18" s="11"/>
      <c r="AC18" s="11"/>
      <c r="AD18" s="11"/>
      <c r="AE18" s="45"/>
      <c r="AF18" s="45"/>
      <c r="AG18" s="45"/>
    </row>
    <row r="19" customFormat="false" ht="14.4" hidden="false" customHeight="false" outlineLevel="0" collapsed="false">
      <c r="A19" s="1"/>
      <c r="B19" s="20" t="s">
        <v>184</v>
      </c>
      <c r="C19" s="72" t="n">
        <v>0</v>
      </c>
      <c r="D19" s="134" t="n">
        <f aca="true">IFERROR(INDEX(INDIRECT(D3&amp;"Table"),MATCH(D4,INDIRECT(D3&amp;"Table"&amp;"[Name]"),0),COLUMN(INDIRECT(D3&amp;"Table"&amp;"["&amp;B19&amp;"]"))),0)</f>
        <v>0</v>
      </c>
      <c r="E19" s="134" t="n">
        <f aca="true">IFERROR(INDEX(INDIRECT(E3&amp;"Table"),MATCH(E4,INDIRECT(E3&amp;"Table"&amp;"[Name]"),0),COLUMN(INDIRECT(E3&amp;"Table"&amp;"["&amp;B19&amp;"]"))),0)</f>
        <v>0</v>
      </c>
      <c r="F19" s="75" t="n">
        <f aca="true">IFERROR(INDEX(INDIRECT(F3&amp;"Table"),MATCH(F4,INDIRECT(F3&amp;"Table"&amp;"[Name]"),0),COLUMN(INDIRECT(F3&amp;"Table"&amp;"["&amp;B19&amp;"]"))),0)</f>
        <v>14.63</v>
      </c>
      <c r="G19" s="72" t="n">
        <f aca="true">IFERROR(INDEX(INDIRECT(G3&amp;"Table"),MATCH(G4,INDIRECT(G3&amp;"Table"&amp;"[Name]"),0),COLUMN(INDIRECT(G3&amp;"Table"&amp;"["&amp;B19&amp;"]"))),0)</f>
        <v>24.61</v>
      </c>
      <c r="H19" s="72" t="n">
        <f aca="true">IFERROR(INDEX(INDIRECT(H3&amp;"Table"),MATCH(H4,INDIRECT(H3&amp;"Table"&amp;"[Name]"),0),COLUMN(INDIRECT(H3&amp;"Table"&amp;"["&amp;B19&amp;"]"))),0)</f>
        <v>1.53</v>
      </c>
      <c r="I19" s="12"/>
      <c r="J19" s="30"/>
      <c r="K19" s="30"/>
      <c r="L19" s="30"/>
      <c r="M19" s="64"/>
      <c r="N19" s="82" t="s">
        <v>277</v>
      </c>
      <c r="O19" s="137"/>
      <c r="P19" s="30" t="n">
        <v>0</v>
      </c>
      <c r="Q19" s="64"/>
      <c r="R19" s="82" t="s">
        <v>201</v>
      </c>
      <c r="S19" s="82"/>
      <c r="T19" s="30" t="n">
        <v>0</v>
      </c>
      <c r="U19" s="64"/>
      <c r="V19" s="58"/>
      <c r="W19" s="104" t="s">
        <v>222</v>
      </c>
      <c r="X19" s="27"/>
      <c r="Y19" s="44" t="n">
        <f aca="false">0.1+(T15/(T15+2+T18*SUM(C14:H14)))+((T14-SUM(C15:H15))/1000)-T17</f>
        <v>0.081</v>
      </c>
      <c r="Z19" s="27"/>
      <c r="AA19" s="11"/>
      <c r="AB19" s="11"/>
      <c r="AC19" s="11"/>
      <c r="AD19" s="11"/>
      <c r="AE19" s="45"/>
      <c r="AF19" s="45"/>
      <c r="AG19" s="45"/>
    </row>
    <row r="20" customFormat="false" ht="14.4" hidden="false" customHeight="false" outlineLevel="0" collapsed="false">
      <c r="A20" s="1"/>
      <c r="B20" s="20" t="s">
        <v>189</v>
      </c>
      <c r="C20" s="72" t="n">
        <f aca="false">SUM(C7:H7)</f>
        <v>79</v>
      </c>
      <c r="D20" s="61" t="s">
        <v>193</v>
      </c>
      <c r="E20" s="134" t="n">
        <f aca="false">SUM(C8:H8)</f>
        <v>839</v>
      </c>
      <c r="F20" s="61" t="s">
        <v>350</v>
      </c>
      <c r="G20" s="134" t="n">
        <f aca="false">SUM(C5:H5)</f>
        <v>200</v>
      </c>
      <c r="H20" s="134"/>
      <c r="I20" s="12"/>
      <c r="J20" s="17" t="s">
        <v>351</v>
      </c>
      <c r="K20" s="14"/>
      <c r="L20" s="30" t="n">
        <v>2</v>
      </c>
      <c r="M20" s="64"/>
      <c r="N20" s="82" t="s">
        <v>280</v>
      </c>
      <c r="O20" s="1"/>
      <c r="P20" s="138" t="n">
        <v>0</v>
      </c>
      <c r="Q20" s="64"/>
      <c r="R20" s="64"/>
      <c r="S20" s="64"/>
      <c r="T20" s="30"/>
      <c r="U20" s="64"/>
      <c r="V20" s="58"/>
      <c r="W20" s="104" t="s">
        <v>223</v>
      </c>
      <c r="X20" s="27"/>
      <c r="Y20" s="44" t="n">
        <f aca="false">IF(Y19&lt;=0.1, 0.1, IF(Y19&gt;=0.9, 0.9, Y19))</f>
        <v>0.1</v>
      </c>
      <c r="Z20" s="27"/>
      <c r="AA20" s="11"/>
      <c r="AB20" s="11"/>
      <c r="AC20" s="11"/>
      <c r="AD20" s="11"/>
      <c r="AE20" s="45"/>
      <c r="AF20" s="45"/>
      <c r="AG20" s="45"/>
    </row>
    <row r="21" customFormat="false" ht="14.4" hidden="false" customHeight="false" outlineLevel="0" collapsed="false">
      <c r="A21" s="1"/>
      <c r="B21" s="1"/>
      <c r="C21" s="1"/>
      <c r="D21" s="1"/>
      <c r="E21" s="1"/>
      <c r="F21" s="1"/>
      <c r="G21" s="1"/>
      <c r="H21" s="1"/>
      <c r="I21" s="1"/>
      <c r="J21" s="17" t="s">
        <v>195</v>
      </c>
      <c r="K21" s="14"/>
      <c r="L21" s="30" t="n">
        <v>1</v>
      </c>
      <c r="M21" s="64"/>
      <c r="N21" s="64"/>
      <c r="O21" s="64"/>
      <c r="P21" s="64"/>
      <c r="Q21" s="64"/>
      <c r="R21" s="64"/>
      <c r="S21" s="64"/>
      <c r="T21" s="64"/>
      <c r="U21" s="64"/>
      <c r="V21" s="58"/>
      <c r="W21" s="58"/>
      <c r="X21" s="58"/>
      <c r="Y21" s="58"/>
      <c r="Z21" s="58"/>
      <c r="AA21" s="58"/>
      <c r="AB21" s="58"/>
      <c r="AC21" s="58"/>
      <c r="AD21" s="45"/>
      <c r="AE21" s="45"/>
      <c r="AF21" s="45"/>
      <c r="AG21" s="45"/>
    </row>
    <row r="22" customFormat="false" ht="14.4" hidden="false" customHeight="false" outlineLevel="0" collapsed="false">
      <c r="A22" s="1"/>
      <c r="B22" s="1"/>
      <c r="C22" s="1"/>
      <c r="D22" s="1"/>
      <c r="E22" s="1"/>
      <c r="F22" s="1"/>
      <c r="G22" s="1"/>
      <c r="H22" s="1"/>
      <c r="I22" s="1"/>
      <c r="J22" s="17" t="s">
        <v>202</v>
      </c>
      <c r="K22" s="14"/>
      <c r="L22" s="30" t="n">
        <f aca="false">SQRT(200/(100+SUM(C10:H10)*(L21)))</f>
        <v>0.932504808240314</v>
      </c>
      <c r="M22" s="64"/>
      <c r="N22" s="64"/>
      <c r="O22" s="64"/>
      <c r="P22" s="64"/>
      <c r="Q22" s="64"/>
      <c r="R22" s="64"/>
      <c r="S22" s="64"/>
      <c r="T22" s="64"/>
      <c r="U22" s="64"/>
      <c r="V22" s="58"/>
      <c r="W22" s="58"/>
      <c r="X22" s="58"/>
      <c r="Y22" s="58"/>
      <c r="Z22" s="58"/>
      <c r="AA22" s="58"/>
      <c r="AB22" s="58"/>
      <c r="AC22" s="58"/>
      <c r="AD22" s="45"/>
      <c r="AE22" s="45"/>
      <c r="AF22" s="45"/>
      <c r="AG22" s="45"/>
    </row>
    <row r="23" customFormat="false" ht="14.4"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customFormat="false" ht="14.4" hidden="false" customHeight="false" outlineLevel="0" collapsed="false">
      <c r="A24" s="1"/>
      <c r="B24" s="57" t="s">
        <v>206</v>
      </c>
      <c r="C24" s="57"/>
      <c r="D24" s="57" t="s">
        <v>207</v>
      </c>
      <c r="E24" s="57" t="s">
        <v>208</v>
      </c>
      <c r="F24" s="57" t="s">
        <v>209</v>
      </c>
      <c r="G24" s="57" t="s">
        <v>138</v>
      </c>
      <c r="H24" s="57" t="s">
        <v>140</v>
      </c>
      <c r="I24" s="57" t="s">
        <v>142</v>
      </c>
      <c r="J24" s="57" t="s">
        <v>78</v>
      </c>
      <c r="K24" s="57" t="s">
        <v>280</v>
      </c>
      <c r="L24" s="99" t="s">
        <v>214</v>
      </c>
      <c r="M24" s="100" t="s">
        <v>215</v>
      </c>
      <c r="N24" s="57" t="s">
        <v>210</v>
      </c>
      <c r="O24" s="57" t="s">
        <v>211</v>
      </c>
      <c r="P24" s="57" t="s">
        <v>212</v>
      </c>
      <c r="Q24" s="99" t="s">
        <v>175</v>
      </c>
      <c r="R24" s="1"/>
      <c r="S24" s="63"/>
      <c r="T24" s="63" t="s">
        <v>244</v>
      </c>
      <c r="U24" s="63"/>
      <c r="V24" s="63" t="s">
        <v>245</v>
      </c>
      <c r="W24" s="63"/>
      <c r="X24" s="63" t="s">
        <v>246</v>
      </c>
      <c r="Y24" s="11"/>
      <c r="Z24" s="63" t="s">
        <v>352</v>
      </c>
      <c r="AA24" s="27"/>
      <c r="AB24" s="27"/>
      <c r="AC24" s="27"/>
      <c r="AD24" s="27"/>
      <c r="AE24" s="27"/>
      <c r="AF24" s="1"/>
      <c r="AG24" s="1"/>
    </row>
    <row r="25" customFormat="false" ht="14.4" hidden="false" customHeight="false" outlineLevel="0" collapsed="false">
      <c r="A25" s="1"/>
      <c r="B25" s="72" t="str">
        <f aca="true">IFERROR(INDEX(INDIRECT(C3&amp;"Table"),MATCH(C2,INDIRECT(C3&amp;"Table"&amp;"[Name]"),0),COLUMN(INDIRECT(C3&amp;"Table"&amp;"[Barg1]"))),0)</f>
        <v>I-19-Exclusive Barrage</v>
      </c>
      <c r="C25" s="72"/>
      <c r="D25" s="72" t="n">
        <f aca="false">IFERROR(INDEX(Barrage[],MATCH(B25,Barrage[Name],0),COLUMN(Barrage[Total Damage])),0)</f>
        <v>540</v>
      </c>
      <c r="E25" s="72" t="n">
        <f aca="false">IFERROR(INDEX(Barrage[],MATCH(B25,Barrage[Name],0),COLUMN(Barrage[Base Damage])),0)</f>
        <v>60</v>
      </c>
      <c r="F25" s="72" t="n">
        <f aca="false">IFERROR(INDEX(Barrage[],MATCH(B25,Barrage[Name],0),COLUMN(Barrage[Total Rounds])),0)</f>
        <v>9</v>
      </c>
      <c r="G25" s="72" t="n">
        <f aca="false">IFERROR(INDEX(Barrage[],MATCH(B25,Barrage[Name],0),COLUMN(Barrage[Light Armor])),0)</f>
        <v>0.8</v>
      </c>
      <c r="H25" s="72" t="n">
        <f aca="false">IFERROR(INDEX(Barrage[],MATCH(B25,Barrage[Name],0),COLUMN(Barrage[Medium Armor])),0)</f>
        <v>1</v>
      </c>
      <c r="I25" s="72" t="n">
        <f aca="false">IFERROR(INDEX(Barrage[],MATCH(B25,Barrage[Name],0),COLUMN(Barrage[Heavy Armor])),0)</f>
        <v>1.3</v>
      </c>
      <c r="J25" s="72" t="n">
        <f aca="false">IFERROR(INDEX(Barrage[],MATCH(B25,Barrage[Name],0),COLUMN(Barrage[Burn %])),0)</f>
        <v>0</v>
      </c>
      <c r="K25" s="72" t="n">
        <f aca="false">IFERROR(INDEX(Barrage[],MATCH(B25,Barrage[Name],0),COLUMN(Barrage[Flood %])),0)</f>
        <v>0</v>
      </c>
      <c r="L25" s="103" t="n">
        <v>1</v>
      </c>
      <c r="M25" s="103" t="n">
        <v>0</v>
      </c>
      <c r="N25" s="72" t="str">
        <f aca="false">IFERROR(INDEX(Barrage[],MATCH(B25,Barrage[Name],0),COLUMN(Barrage[Type2])),0)</f>
        <v>TP</v>
      </c>
      <c r="O25" s="72" t="n">
        <f aca="false">IFERROR(INDEX(Barrage[],MATCH(B25,Barrage[Name],0),COLUMN(Barrage[Stat Mod])),0)</f>
        <v>1</v>
      </c>
      <c r="P25" s="90" t="n">
        <f aca="false">IFERROR(INDEX(Barrage[],MATCH(B25,Barrage[Name],0),COLUMN(Barrage[Crit %])),0)</f>
        <v>0</v>
      </c>
      <c r="Q25" s="103" t="n">
        <v>1</v>
      </c>
      <c r="R25" s="1"/>
      <c r="S25" s="63" t="s">
        <v>138</v>
      </c>
      <c r="T25" s="27" t="n">
        <f aca="false">((100+E20*P15)/100)*X8*F17*Y11*X5*C11*P18</f>
        <v>16855.146605677</v>
      </c>
      <c r="U25" s="27"/>
      <c r="V25" s="27" t="n">
        <f aca="false">((100+E20*P15)/100)*Y8*G17*Y11*Y5*C12*P18</f>
        <v>11201.7840548265</v>
      </c>
      <c r="W25" s="27"/>
      <c r="X25" s="27" t="n">
        <f aca="false">((100+C20*P14))/100*FLOOR(AD5/(L22*H19),1)*H18*H17*Y10*P17*Z5</f>
        <v>412.185500792627</v>
      </c>
      <c r="Y25" s="11"/>
      <c r="Z25" s="27" t="n">
        <f aca="false">T25+V25+X25</f>
        <v>28469.1161612962</v>
      </c>
      <c r="AA25" s="27"/>
      <c r="AB25" s="27"/>
      <c r="AC25" s="27"/>
      <c r="AD25" s="27"/>
      <c r="AE25" s="27"/>
      <c r="AF25" s="1"/>
      <c r="AG25" s="1"/>
    </row>
    <row r="26" customFormat="false" ht="14.4" hidden="false" customHeight="false" outlineLevel="0" collapsed="false">
      <c r="A26" s="1"/>
      <c r="B26" s="72" t="str">
        <f aca="true">IFERROR(INDEX(INDIRECT(C3&amp;"Table"),MATCH(C2,INDIRECT(C3&amp;"Table"&amp;"[Name]"),0),COLUMN(INDIRECT(C3&amp;"Table"&amp;"[Barg2]"))),0)</f>
        <v>Fatal Penetration</v>
      </c>
      <c r="C26" s="72"/>
      <c r="D26" s="72" t="n">
        <f aca="false">IFERROR(INDEX(Barrage[],MATCH(B26,Barrage[Name],0),COLUMN(Barrage[Total Damage])),0)</f>
        <v>288</v>
      </c>
      <c r="E26" s="72" t="n">
        <f aca="false">IFERROR(INDEX(Barrage[],MATCH(B26,Barrage[Name],0),COLUMN(Barrage[Base Damage])),0)</f>
        <v>48</v>
      </c>
      <c r="F26" s="72" t="n">
        <f aca="false">IFERROR(INDEX(Barrage[],MATCH(B26,Barrage[Name],0),COLUMN(Barrage[Total Rounds])),0)</f>
        <v>6</v>
      </c>
      <c r="G26" s="72" t="n">
        <f aca="false">IFERROR(INDEX(Barrage[],MATCH(B26,Barrage[Name],0),COLUMN(Barrage[Light Armor])),0)</f>
        <v>0.8</v>
      </c>
      <c r="H26" s="72" t="n">
        <f aca="false">IFERROR(INDEX(Barrage[],MATCH(B26,Barrage[Name],0),COLUMN(Barrage[Medium Armor])),0)</f>
        <v>1</v>
      </c>
      <c r="I26" s="72" t="n">
        <f aca="false">IFERROR(INDEX(Barrage[],MATCH(B26,Barrage[Name],0),COLUMN(Barrage[Heavy Armor])),0)</f>
        <v>1.3</v>
      </c>
      <c r="J26" s="72" t="n">
        <f aca="false">IFERROR(INDEX(Barrage[],MATCH(B26,Barrage[Name],0),COLUMN(Barrage[Burn %])),0)</f>
        <v>0</v>
      </c>
      <c r="K26" s="72" t="n">
        <f aca="false">IFERROR(INDEX(Barrage[],MATCH(B26,Barrage[Name],0),COLUMN(Barrage[Flood %])),0)</f>
        <v>0</v>
      </c>
      <c r="L26" s="103" t="n">
        <v>1</v>
      </c>
      <c r="M26" s="103" t="n">
        <v>0</v>
      </c>
      <c r="N26" s="72" t="str">
        <f aca="false">IFERROR(INDEX(Barrage[],MATCH(B26,Barrage[Name],0),COLUMN(Barrage[Type2])),0)</f>
        <v>TP</v>
      </c>
      <c r="O26" s="72" t="n">
        <f aca="false">IFERROR(INDEX(Barrage[],MATCH(B26,Barrage[Name],0),COLUMN(Barrage[Stat Mod])),0)</f>
        <v>1.2</v>
      </c>
      <c r="P26" s="90" t="n">
        <f aca="false">IFERROR(INDEX(Barrage[],MATCH(B26,Barrage[Name],0),COLUMN(Barrage[Crit %])),0)</f>
        <v>0</v>
      </c>
      <c r="Q26" s="103" t="n">
        <v>1</v>
      </c>
      <c r="R26" s="1"/>
      <c r="S26" s="63" t="s">
        <v>140</v>
      </c>
      <c r="T26" s="27" t="n">
        <f aca="false">((100+E20*P15)/100)*X8*F17*Y11*X6*C11*P18</f>
        <v>21068.9332570963</v>
      </c>
      <c r="U26" s="27"/>
      <c r="V26" s="27" t="n">
        <f aca="false">((100+E20*P15)/100)*Y8*G17*Y11*Y6*C12*P18</f>
        <v>14002.2300685332</v>
      </c>
      <c r="W26" s="27"/>
      <c r="X26" s="27" t="n">
        <f aca="false">((100+C20*P14))/100*FLOOR(AD5/(L22*H19),1)*H18*H17*Y10*P17*Z6</f>
        <v>206.092750396313</v>
      </c>
      <c r="Y26" s="11"/>
      <c r="Z26" s="27" t="n">
        <f aca="false">T26+V26+X26</f>
        <v>35277.2560760257</v>
      </c>
      <c r="AA26" s="27"/>
      <c r="AB26" s="27"/>
      <c r="AC26" s="27"/>
      <c r="AD26" s="27"/>
      <c r="AE26" s="27"/>
      <c r="AF26" s="1"/>
      <c r="AG26" s="1"/>
    </row>
    <row r="27" customFormat="false" ht="14.4" hidden="false" customHeight="false" outlineLevel="0" collapsed="false">
      <c r="A27" s="1"/>
      <c r="B27" s="72" t="str">
        <f aca="true">IFERROR(INDEX(INDIRECT(C3&amp;"Table"),MATCH(C2,INDIRECT(C3&amp;"Table"&amp;"[Name]"),0),COLUMN(INDIRECT(C3&amp;"Table"&amp;"[Barg3]"))),0)</f>
        <v>N/A</v>
      </c>
      <c r="C27" s="72"/>
      <c r="D27" s="72" t="n">
        <f aca="false">IFERROR(INDEX(Barrage[],MATCH(B27,Barrage[Name],0),COLUMN(Barrage[Total Damage])),0)</f>
        <v>0</v>
      </c>
      <c r="E27" s="72" t="n">
        <f aca="false">IFERROR(INDEX(Barrage[],MATCH(B27,Barrage[Name],0),COLUMN(Barrage[Base Damage])),0)</f>
        <v>0</v>
      </c>
      <c r="F27" s="72" t="n">
        <f aca="false">IFERROR(INDEX(Barrage[],MATCH(B27,Barrage[Name],0),COLUMN(Barrage[Total Rounds])),0)</f>
        <v>0</v>
      </c>
      <c r="G27" s="72" t="n">
        <f aca="false">IFERROR(INDEX(Barrage[],MATCH(B27,Barrage[Name],0),COLUMN(Barrage[Light Armor])),0)</f>
        <v>0</v>
      </c>
      <c r="H27" s="72" t="n">
        <f aca="false">IFERROR(INDEX(Barrage[],MATCH(B27,Barrage[Name],0),COLUMN(Barrage[Medium Armor])),0)</f>
        <v>0</v>
      </c>
      <c r="I27" s="72" t="n">
        <f aca="false">IFERROR(INDEX(Barrage[],MATCH(B27,Barrage[Name],0),COLUMN(Barrage[Heavy Armor])),0)</f>
        <v>0</v>
      </c>
      <c r="J27" s="72" t="n">
        <f aca="false">IFERROR(INDEX(Barrage[],MATCH(B27,Barrage[Name],0),COLUMN(Barrage[Burn %])),0)</f>
        <v>0</v>
      </c>
      <c r="K27" s="72" t="n">
        <f aca="false">IFERROR(INDEX(Barrage[],MATCH(B27,Barrage[Name],0),COLUMN(Barrage[Flood %])),0)</f>
        <v>0</v>
      </c>
      <c r="L27" s="103" t="n">
        <v>1</v>
      </c>
      <c r="M27" s="103" t="n">
        <v>0</v>
      </c>
      <c r="N27" s="72" t="n">
        <f aca="false">IFERROR(INDEX(Barrage[],MATCH(B27,Barrage[Name],0),COLUMN(Barrage[Type2])),0)</f>
        <v>0</v>
      </c>
      <c r="O27" s="72" t="n">
        <f aca="false">IFERROR(INDEX(Barrage[],MATCH(B27,Barrage[Name],0),COLUMN(Barrage[Stat Mod])),0)</f>
        <v>0</v>
      </c>
      <c r="P27" s="90" t="n">
        <f aca="false">IFERROR(INDEX(Barrage[],MATCH(B27,Barrage[Name],0),COLUMN(Barrage[Crit %])),0)</f>
        <v>0</v>
      </c>
      <c r="Q27" s="103" t="n">
        <v>1</v>
      </c>
      <c r="R27" s="1"/>
      <c r="S27" s="63" t="s">
        <v>142</v>
      </c>
      <c r="T27" s="27" t="n">
        <f aca="false">((100+E20*P15)/100)*X8*F17*Y11*X7*C11*P18</f>
        <v>27389.6132342251</v>
      </c>
      <c r="U27" s="27"/>
      <c r="V27" s="27" t="n">
        <f aca="false">((100+E20*P15)/100)*Y8*G17*Y11*Y7*C12*P18</f>
        <v>18202.8990890931</v>
      </c>
      <c r="W27" s="27"/>
      <c r="X27" s="27" t="n">
        <f aca="false">((100+C20*P14))/100*FLOOR(AD5/(L22*H19),1)*H18*H17*Y10*P17*Z7</f>
        <v>206.092750396313</v>
      </c>
      <c r="Y27" s="11"/>
      <c r="Z27" s="27" t="n">
        <f aca="false">T27+V27+X27</f>
        <v>45798.6050737146</v>
      </c>
      <c r="AA27" s="27"/>
      <c r="AB27" s="27"/>
      <c r="AC27" s="27"/>
      <c r="AD27" s="27"/>
      <c r="AE27" s="27"/>
      <c r="AF27" s="1"/>
      <c r="AG27" s="1"/>
    </row>
    <row r="28" customFormat="false" ht="14.4" hidden="false" customHeight="false" outlineLevel="0" collapsed="false">
      <c r="A28" s="1"/>
      <c r="B28" s="72" t="str">
        <f aca="true">IFERROR(INDEX(INDIRECT(C3&amp;"Table"),MATCH(C2,INDIRECT(C3&amp;"Table"&amp;"[Name]"),0),COLUMN(INDIRECT(C3&amp;"Table"&amp;"[Barg4]"))),0)</f>
        <v>N/A</v>
      </c>
      <c r="C28" s="72"/>
      <c r="D28" s="72" t="n">
        <f aca="false">IFERROR(INDEX(Barrage[],MATCH(B28,Barrage[Name],0),COLUMN(Barrage[Total Damage])),0)</f>
        <v>0</v>
      </c>
      <c r="E28" s="72" t="n">
        <f aca="false">IFERROR(INDEX(Barrage[],MATCH(B28,Barrage[Name],0),COLUMN(Barrage[Base Damage])),0)</f>
        <v>0</v>
      </c>
      <c r="F28" s="72" t="n">
        <f aca="false">IFERROR(INDEX(Barrage[],MATCH(B28,Barrage[Name],0),COLUMN(Barrage[Total Rounds])),0)</f>
        <v>0</v>
      </c>
      <c r="G28" s="72" t="n">
        <f aca="false">IFERROR(INDEX(Barrage[],MATCH(B28,Barrage[Name],0),COLUMN(Barrage[Light Armor])),0)</f>
        <v>0</v>
      </c>
      <c r="H28" s="72" t="n">
        <f aca="false">IFERROR(INDEX(Barrage[],MATCH(B28,Barrage[Name],0),COLUMN(Barrage[Medium Armor])),0)</f>
        <v>0</v>
      </c>
      <c r="I28" s="72" t="n">
        <f aca="false">IFERROR(INDEX(Barrage[],MATCH(B28,Barrage[Name],0),COLUMN(Barrage[Heavy Armor])),0)</f>
        <v>0</v>
      </c>
      <c r="J28" s="72" t="n">
        <f aca="false">IFERROR(INDEX(Barrage[],MATCH(B28,Barrage[Name],0),COLUMN(Barrage[Burn %])),0)</f>
        <v>0</v>
      </c>
      <c r="K28" s="72" t="n">
        <f aca="false">IFERROR(INDEX(Barrage[],MATCH(B28,Barrage[Name],0),COLUMN(Barrage[Flood %])),0)</f>
        <v>0</v>
      </c>
      <c r="L28" s="103" t="n">
        <v>1</v>
      </c>
      <c r="M28" s="103" t="n">
        <v>0</v>
      </c>
      <c r="N28" s="72" t="n">
        <f aca="false">IFERROR(INDEX(Barrage[],MATCH(B28,Barrage[Name],0),COLUMN(Barrage[Type2])),0)</f>
        <v>0</v>
      </c>
      <c r="O28" s="72" t="n">
        <f aca="false">IFERROR(INDEX(Barrage[],MATCH(B28,Barrage[Name],0),COLUMN(Barrage[Stat Mod])),0)</f>
        <v>0</v>
      </c>
      <c r="P28" s="90" t="n">
        <f aca="false">IFERROR(INDEX(Barrage[],MATCH(B28,Barrage[Name],0),COLUMN(Barrage[Crit %])),0)</f>
        <v>0</v>
      </c>
      <c r="Q28" s="103" t="n">
        <v>1</v>
      </c>
      <c r="R28" s="1"/>
      <c r="S28" s="63" t="s">
        <v>238</v>
      </c>
      <c r="T28" s="27" t="n">
        <v>0</v>
      </c>
      <c r="U28" s="27"/>
      <c r="V28" s="27" t="n">
        <v>0</v>
      </c>
      <c r="W28" s="27"/>
      <c r="X28" s="27" t="n">
        <f aca="false">(((100+C20)/100)*C13*H11*H17*AD3+5)*5*(1-(1-AD4)^(H18))</f>
        <v>3.77821217716001</v>
      </c>
      <c r="Y28" s="27"/>
      <c r="Z28" s="27" t="n">
        <f aca="false">SUM(T28+V28+X28)</f>
        <v>3.77821217716001</v>
      </c>
      <c r="AA28" s="27"/>
      <c r="AB28" s="27"/>
      <c r="AC28" s="27"/>
      <c r="AD28" s="27"/>
      <c r="AE28" s="27"/>
      <c r="AF28" s="1"/>
      <c r="AG28" s="1"/>
    </row>
    <row r="29" customFormat="false" ht="14.4" hidden="false" customHeight="false" outlineLevel="0" collapsed="false">
      <c r="A29" s="1"/>
      <c r="B29" s="1"/>
      <c r="C29" s="1"/>
      <c r="D29" s="1"/>
      <c r="E29" s="1"/>
      <c r="F29" s="1"/>
      <c r="G29" s="1"/>
      <c r="H29" s="1"/>
      <c r="I29" s="1"/>
      <c r="J29" s="1"/>
      <c r="K29" s="1"/>
      <c r="L29" s="1"/>
      <c r="M29" s="1"/>
      <c r="N29" s="1"/>
      <c r="O29" s="1"/>
      <c r="P29" s="1"/>
      <c r="Q29" s="1"/>
      <c r="R29" s="1"/>
      <c r="S29" s="63" t="s">
        <v>353</v>
      </c>
      <c r="T29" s="27" t="n">
        <f aca="false">(((100+E20)/100)*1*1*F17*P19+10)*8*(1-(1-P20)^(X8))</f>
        <v>0</v>
      </c>
      <c r="U29" s="63"/>
      <c r="V29" s="27" t="n">
        <f aca="false">(((100+E20)/100)*1*1*G17*P19+10)*8*(1-(1-P20)^(X8))</f>
        <v>0</v>
      </c>
      <c r="W29" s="63"/>
      <c r="X29" s="27" t="n">
        <v>0</v>
      </c>
      <c r="Y29" s="11"/>
      <c r="Z29" s="27" t="n">
        <f aca="false">SUM(T29+V29+X29)</f>
        <v>0</v>
      </c>
      <c r="AA29" s="27"/>
      <c r="AB29" s="27"/>
      <c r="AC29" s="27"/>
      <c r="AD29" s="27"/>
      <c r="AE29" s="27"/>
      <c r="AF29" s="1"/>
      <c r="AG29" s="1"/>
    </row>
    <row r="30" customFormat="false" ht="14.4" hidden="false" customHeight="false" outlineLevel="0" collapsed="false">
      <c r="A30" s="1"/>
      <c r="B30" s="1"/>
      <c r="C30" s="1"/>
      <c r="D30" s="1"/>
      <c r="E30" s="1"/>
      <c r="F30" s="1"/>
      <c r="G30" s="1"/>
      <c r="H30" s="1"/>
      <c r="I30" s="1"/>
      <c r="J30" s="1"/>
      <c r="K30" s="1"/>
      <c r="L30" s="1"/>
      <c r="M30" s="1"/>
      <c r="N30" s="1"/>
      <c r="O30" s="1"/>
      <c r="P30" s="1"/>
      <c r="Q30" s="1"/>
      <c r="R30" s="1"/>
      <c r="S30" s="27"/>
      <c r="T30" s="27"/>
      <c r="U30" s="27"/>
      <c r="V30" s="27"/>
      <c r="W30" s="27"/>
      <c r="X30" s="27"/>
      <c r="Y30" s="27"/>
      <c r="Z30" s="27"/>
      <c r="AA30" s="27"/>
      <c r="AB30" s="27"/>
      <c r="AC30" s="27"/>
      <c r="AD30" s="27"/>
      <c r="AE30" s="27"/>
      <c r="AF30" s="1"/>
      <c r="AG30" s="1"/>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63" t="s">
        <v>354</v>
      </c>
      <c r="T31" s="27"/>
      <c r="U31" s="27"/>
      <c r="V31" s="63" t="s">
        <v>355</v>
      </c>
      <c r="W31" s="27"/>
      <c r="X31" s="63" t="s">
        <v>355</v>
      </c>
      <c r="Y31" s="11"/>
      <c r="Z31" s="63" t="s">
        <v>355</v>
      </c>
      <c r="AA31" s="27"/>
      <c r="AB31" s="63" t="s">
        <v>356</v>
      </c>
      <c r="AC31" s="27"/>
      <c r="AD31" s="27"/>
      <c r="AE31" s="27"/>
      <c r="AF31" s="1"/>
      <c r="AG31" s="1"/>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63" t="s">
        <v>138</v>
      </c>
      <c r="T32" s="27" t="n">
        <f aca="false">IFERROR((D25*G25*((100+IF(N25="FP",C20*P14,E20*P15)*O25)/100))*IF(P25=0,IF(N25="FP",Y10,Y11),P25*IF(N25="FP",L16+L17+1,L16+L18+1))*L25,0)*Q25</f>
        <v>4324.49368988018</v>
      </c>
      <c r="U32" s="27"/>
      <c r="V32" s="27" t="n">
        <f aca="false">IFERROR((D26*G26*((100+IF(N26="FP",C20*P14,E20*P15)*O26)/100))*IF(P26=0,IF(N26="FP",Y10,Y11),P26*IF(N26="FP",L16+L17+1,L16+L18+1))*L26,0)*Q26</f>
        <v>2718.55143256479</v>
      </c>
      <c r="W32" s="27"/>
      <c r="X32" s="27" t="n">
        <f aca="false">IFERROR((D27*G27*((100+IF(N27="FP",C20*P14,E20*P15)*O27)/100))*IF(P27=0,IF(N27="FP",Y10,Y11),P27*IF(N27="FP",L16+L17+1,L16+L18+1))*L27,0)*Q27</f>
        <v>0</v>
      </c>
      <c r="Y32" s="11"/>
      <c r="Z32" s="27" t="n">
        <f aca="false">IFERROR((D28*G28*((100+IF(N28="FP",C20*P14,E20*P15)*O28)/100))*IF(P28=0,IF(N28="FP",Y10,Y11),P28*IF(N28="FP",L16+L17+1,L16+L18+1))*L28,0)*Q28</f>
        <v>0</v>
      </c>
      <c r="AA32" s="27"/>
      <c r="AB32" s="27" t="n">
        <f aca="false">SUM(T32:Z32)</f>
        <v>7043.04512244498</v>
      </c>
      <c r="AC32" s="27"/>
      <c r="AD32" s="27"/>
      <c r="AE32" s="27"/>
      <c r="AF32" s="1"/>
      <c r="AG32" s="1"/>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63" t="s">
        <v>140</v>
      </c>
      <c r="T33" s="27" t="n">
        <f aca="false">IFERROR((D25*H25*((100+IF(N25="FP",C20*P14,E20*P15)*O25)/100))*IF(P25=0,IF(N25="FP",Y10,Y11),P25*IF(N25="FP",L16+L17+1,L16+L18+1))*L25,0)*Q25</f>
        <v>5405.61711235023</v>
      </c>
      <c r="U33" s="27"/>
      <c r="V33" s="27" t="n">
        <f aca="false">IFERROR((D26*H26*((100+IF(N26="FP",C20*P14,E20*P15)*O26)/100))*IF(P26=0,IF(N26="FP",Y10,Y11),P26*IF(N26="FP",L16+L17+1,L16+L18+1))*L26,0)*Q26</f>
        <v>3398.18929070599</v>
      </c>
      <c r="W33" s="27"/>
      <c r="X33" s="27" t="n">
        <f aca="false">IFERROR((D27*H27*((100+IF(N27="FP",C20*P14,E20*P15)*O27)/100))*IF(P27=0,IF(N27="FP",Y10,Y11),P27*IF(N27="FP",L16+L17+1,L16+L18+1))*L27,0)*Q27</f>
        <v>0</v>
      </c>
      <c r="Y33" s="11"/>
      <c r="Z33" s="27" t="n">
        <f aca="false">IFERROR((D28*H28*((100+IF(N28="FP",C20*P14,E20*P15)*O28)/100))*IF(P28=0,IF(N28="FP",Y10,Y11),P28*IF(N28="FP",L16+L17+1,L16+L18+1))*L28,0)*Q28</f>
        <v>0</v>
      </c>
      <c r="AA33" s="27"/>
      <c r="AB33" s="27" t="n">
        <f aca="false">SUM(T33:Z33)</f>
        <v>8803.80640305622</v>
      </c>
      <c r="AC33" s="27"/>
      <c r="AD33" s="27"/>
      <c r="AE33" s="27"/>
      <c r="AF33" s="1"/>
      <c r="AG33" s="1"/>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63" t="s">
        <v>142</v>
      </c>
      <c r="T34" s="27" t="n">
        <f aca="false">IFERROR((D25*I25*((100+IF(N25="FP",C20*P14,E20*P15)*O25)/100))*IF(P25=0,IF(N25="FP",Y10,Y11),P25*IF(N25="FP",L16+L17+1,L16+L18+1))*L25,0)*Q25</f>
        <v>7027.3022460553</v>
      </c>
      <c r="U34" s="63"/>
      <c r="V34" s="27" t="n">
        <f aca="false">IFERROR((D26*I26*((100+IF(N26="FP",C20*P14,E20*P15)*O26)/100))*IF(P26=0,IF(N26="FP",Y10,Y11),P26*IF(N26="FP",L16+L17+1,L16+L18+1))*L26,0)*Q26</f>
        <v>4417.64607791779</v>
      </c>
      <c r="W34" s="63"/>
      <c r="X34" s="27" t="n">
        <f aca="false">IFERROR((D27*I27*((100+IF(N27="FP",C20*P14,E20*P15)*O27)/100))*IF(P27=0,IF(N27="FP",Y10,Y11),P27*IF(N27="FP",L16+L17+1,L16+L18+1))*L27,0)*Q27</f>
        <v>0</v>
      </c>
      <c r="Y34" s="63"/>
      <c r="Z34" s="27" t="n">
        <f aca="false">IFERROR((D28*I28*((100+IF(N28="FP",C20*P14,E20*P15)*O28)/100))*IF(P28=0,IF(N28="FP",Y10,Y11),P28*IF(N28="FP",L16+L17+1,L16+L18+1))*L28,0)*Q28</f>
        <v>0</v>
      </c>
      <c r="AA34" s="27"/>
      <c r="AB34" s="27" t="n">
        <f aca="false">SUM(T34:Z34)</f>
        <v>11444.9483239731</v>
      </c>
      <c r="AC34" s="27"/>
      <c r="AD34" s="27"/>
      <c r="AE34" s="27"/>
      <c r="AF34" s="1"/>
      <c r="AG34" s="1"/>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63" t="s">
        <v>238</v>
      </c>
      <c r="T35" s="27" t="n">
        <f aca="false">(((100+IF(N25="FP",C20*P14,E20*P15)*O25/100)*C13*1*E25*AD3+5)*(1-(1-J25)^(F25))*5)</f>
        <v>0</v>
      </c>
      <c r="U35" s="63"/>
      <c r="V35" s="27" t="n">
        <f aca="false">(((100+IF(N26="FP",C20*P14,E20*P15)*O26)/100)*C13*1*E26*AD3+5)*(1-(1-J26)^(F26))*5</f>
        <v>0</v>
      </c>
      <c r="W35" s="63"/>
      <c r="X35" s="27" t="n">
        <f aca="false">(((100+IF(N27="FP",C20*P14,E20*P15)*O27)/100)*C13*1*E27*AD3+5)*(1-(1-J27)^(F27))*5</f>
        <v>0</v>
      </c>
      <c r="Y35" s="63"/>
      <c r="Z35" s="27" t="n">
        <f aca="false">(((100+IF(N28="FP",C20*P14,E20*P15)*O28)/100)*C13*1*E28*AD3+5)*(1-(1-J28)^(F28))*5</f>
        <v>0</v>
      </c>
      <c r="AA35" s="27"/>
      <c r="AB35" s="27" t="n">
        <f aca="false">SUM(T35:Z35)</f>
        <v>0</v>
      </c>
      <c r="AC35" s="27"/>
      <c r="AD35" s="27"/>
      <c r="AE35" s="27"/>
      <c r="AF35" s="1"/>
      <c r="AG35" s="1"/>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63" t="s">
        <v>241</v>
      </c>
      <c r="T36" s="27" t="n">
        <f aca="false">IFERROR(T35/15*(MIN((15/IF(T14=1,IF(M25=0,G19*L22+AD7,M25),T15)),1)),0)</f>
        <v>0</v>
      </c>
      <c r="U36" s="63"/>
      <c r="V36" s="27" t="n">
        <f aca="false">IFERROR(V35/15*(MIN((15/IF(T14=1,IF(M26=0,G19*L22+AD7,M26),T15)),1)),0)</f>
        <v>0</v>
      </c>
      <c r="W36" s="63"/>
      <c r="X36" s="27" t="n">
        <f aca="false">IFERROR(X35/15*(MIN((15/IF(T14=1,IF(M27=0,G19*L22+AD7,M27),T15)),1)),0)</f>
        <v>0</v>
      </c>
      <c r="Y36" s="63"/>
      <c r="Z36" s="27" t="n">
        <f aca="false">IFERROR(Z35/15*(MIN((15/IF(T14=1,IF(M28=0,G19*L22+AD7,M28),T15)),1)),0)</f>
        <v>0</v>
      </c>
      <c r="AA36" s="27"/>
      <c r="AB36" s="27" t="n">
        <f aca="false">SUM(T36:Z36)</f>
        <v>0</v>
      </c>
      <c r="AC36" s="27"/>
      <c r="AD36" s="27"/>
      <c r="AE36" s="27"/>
      <c r="AF36" s="1"/>
      <c r="AG36" s="1"/>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63" t="s">
        <v>353</v>
      </c>
      <c r="T37" s="27" t="n">
        <f aca="false">K25*(E25*((100+E20*O25*P15)/100)*L25+10)*8</f>
        <v>0</v>
      </c>
      <c r="U37" s="63"/>
      <c r="V37" s="27" t="n">
        <f aca="false">K26*(E26*((100+E20*O26*P15)/100)*L26+10)*8</f>
        <v>0</v>
      </c>
      <c r="W37" s="63"/>
      <c r="X37" s="27"/>
      <c r="Y37" s="63"/>
      <c r="Z37" s="27"/>
      <c r="AA37" s="27"/>
      <c r="AB37" s="27"/>
      <c r="AC37" s="27"/>
      <c r="AD37" s="27"/>
      <c r="AE37" s="27"/>
      <c r="AF37" s="1"/>
      <c r="AG37" s="1"/>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63" t="s">
        <v>304</v>
      </c>
      <c r="T38" s="27" t="n">
        <f aca="false">T37/24*(MIN((24/IF(M25=0,AD7,M25)),1))</f>
        <v>0</v>
      </c>
      <c r="U38" s="63"/>
      <c r="V38" s="27" t="n">
        <f aca="false">V37/24*(MIN((24/IF(M26=0,AD7,M26)),1))</f>
        <v>0</v>
      </c>
      <c r="W38" s="63"/>
      <c r="X38" s="27"/>
      <c r="Y38" s="63"/>
      <c r="Z38" s="27"/>
      <c r="AA38" s="27"/>
      <c r="AB38" s="27"/>
      <c r="AC38" s="27"/>
      <c r="AD38" s="27"/>
      <c r="AE38" s="27"/>
      <c r="AF38" s="1"/>
      <c r="AG38" s="1"/>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sheetData>
  <mergeCells count="2">
    <mergeCell ref="W2:AC2"/>
    <mergeCell ref="J13:U13"/>
  </mergeCells>
  <dataValidations count="10">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N25:N28" type="list">
      <formula1>'Ship Stats'!$A$1084:$A$1086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6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 activeCellId="0" sqref="C2"/>
    </sheetView>
  </sheetViews>
  <sheetFormatPr defaultColWidth="8.58984375" defaultRowHeight="14.4" zeroHeight="false" outlineLevelRow="0" outlineLevelCol="0"/>
  <cols>
    <col collapsed="false" customWidth="true" hidden="false" outlineLevel="0" max="8" min="4" style="0" width="12.66"/>
    <col collapsed="false" customWidth="true" hidden="false" outlineLevel="0" max="23" min="23" style="0" width="12.66"/>
  </cols>
  <sheetData>
    <row r="1" customFormat="false" ht="14.4" hidden="false" customHeight="false" outlineLevel="0" collapsed="false">
      <c r="A1" s="1"/>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row>
    <row r="2" customFormat="false" ht="14.4" hidden="false" customHeight="false" outlineLevel="0" collapsed="false">
      <c r="A2" s="1"/>
      <c r="B2" s="56" t="s">
        <v>357</v>
      </c>
      <c r="C2" s="15" t="s">
        <v>358</v>
      </c>
      <c r="D2" s="57" t="s">
        <v>116</v>
      </c>
      <c r="E2" s="57" t="s">
        <v>117</v>
      </c>
      <c r="F2" s="57" t="s">
        <v>106</v>
      </c>
      <c r="G2" s="57" t="s">
        <v>107</v>
      </c>
      <c r="H2" s="57" t="s">
        <v>327</v>
      </c>
      <c r="I2" s="12"/>
      <c r="J2" s="16"/>
      <c r="K2" s="16"/>
      <c r="L2" s="16"/>
      <c r="M2" s="16"/>
      <c r="N2" s="16"/>
      <c r="O2" s="16"/>
      <c r="P2" s="16"/>
      <c r="Q2" s="16"/>
      <c r="R2" s="58"/>
      <c r="S2" s="58"/>
      <c r="T2" s="58"/>
      <c r="U2" s="16"/>
      <c r="V2" s="45"/>
      <c r="W2" s="131" t="s">
        <v>119</v>
      </c>
      <c r="X2" s="131"/>
      <c r="Y2" s="131"/>
      <c r="Z2" s="131"/>
      <c r="AA2" s="131"/>
      <c r="AB2" s="131"/>
      <c r="AC2" s="131"/>
      <c r="AD2" s="45"/>
      <c r="AE2" s="45"/>
      <c r="AF2" s="45"/>
      <c r="AG2" s="45"/>
      <c r="AH2" s="45"/>
      <c r="AI2" s="45"/>
      <c r="AJ2" s="45"/>
      <c r="AK2" s="45"/>
      <c r="AL2" s="45"/>
    </row>
    <row r="3" customFormat="false" ht="14.4" hidden="false" customHeight="false" outlineLevel="0" collapsed="false">
      <c r="A3" s="1"/>
      <c r="B3" s="20" t="s">
        <v>96</v>
      </c>
      <c r="C3" s="60" t="str">
        <f aca="false">IFERROR(INDEX(SType[],MATCH(C4,SType[Ship],0),COLUMN(SType[Type])),0)</f>
        <v>SubmarineCarrier</v>
      </c>
      <c r="D3" s="56" t="s">
        <v>120</v>
      </c>
      <c r="E3" s="56" t="s">
        <v>120</v>
      </c>
      <c r="F3" s="56" t="s">
        <v>325</v>
      </c>
      <c r="G3" s="56" t="s">
        <v>325</v>
      </c>
      <c r="H3" s="56" t="s">
        <v>248</v>
      </c>
      <c r="I3" s="12"/>
      <c r="J3" s="61" t="str">
        <f aca="false">C2</f>
        <v>I-13</v>
      </c>
      <c r="K3" s="62"/>
      <c r="L3" s="63" t="s">
        <v>328</v>
      </c>
      <c r="M3" s="63"/>
      <c r="N3" s="63" t="s">
        <v>329</v>
      </c>
      <c r="O3" s="63"/>
      <c r="P3" s="63" t="s">
        <v>330</v>
      </c>
      <c r="Q3" s="63"/>
      <c r="R3" s="63" t="s">
        <v>125</v>
      </c>
      <c r="S3" s="118"/>
      <c r="T3" s="30"/>
      <c r="U3" s="30"/>
      <c r="V3" s="45"/>
      <c r="W3" s="104" t="s">
        <v>130</v>
      </c>
      <c r="X3" s="104" t="s">
        <v>131</v>
      </c>
      <c r="Y3" s="104" t="s">
        <v>107</v>
      </c>
      <c r="Z3" s="104" t="s">
        <v>327</v>
      </c>
      <c r="AA3" s="104"/>
      <c r="AB3" s="104" t="s">
        <v>146</v>
      </c>
      <c r="AC3" s="11"/>
      <c r="AD3" s="44" t="n">
        <f aca="false">IF(H4="2x410mm Gold", 1.2, 0.6)</f>
        <v>0.6</v>
      </c>
      <c r="AE3" s="45"/>
      <c r="AF3" s="45"/>
      <c r="AG3" s="45"/>
      <c r="AH3" s="45"/>
      <c r="AI3" s="45"/>
      <c r="AJ3" s="45"/>
      <c r="AK3" s="45"/>
      <c r="AL3" s="45"/>
    </row>
    <row r="4" customFormat="false" ht="14.4" hidden="false" customHeight="false" outlineLevel="0" collapsed="false">
      <c r="A4" s="1"/>
      <c r="B4" s="20" t="s">
        <v>97</v>
      </c>
      <c r="C4" s="60" t="str">
        <f aca="false">IFERROR(INDEX(Base[],MATCH(C2,Base[Akashi],0),COLUMN(Base[AR])),0)</f>
        <v>SSV</v>
      </c>
      <c r="D4" s="15" t="s">
        <v>331</v>
      </c>
      <c r="E4" s="15" t="s">
        <v>331</v>
      </c>
      <c r="F4" s="15" t="s">
        <v>333</v>
      </c>
      <c r="G4" s="15" t="s">
        <v>333</v>
      </c>
      <c r="H4" s="15" t="s">
        <v>359</v>
      </c>
      <c r="I4" s="12"/>
      <c r="J4" s="67"/>
      <c r="K4" s="68" t="s">
        <v>138</v>
      </c>
      <c r="L4" s="70" t="n">
        <f aca="false">Z26*$Y$18+R4+Z29+Z30</f>
        <v>40527.5168994505</v>
      </c>
      <c r="M4" s="70"/>
      <c r="N4" s="70" t="n">
        <f aca="false">L4/$AD$7/$Y$18</f>
        <v>1407.20544789759</v>
      </c>
      <c r="O4" s="70"/>
      <c r="P4" s="70" t="n">
        <f aca="false">N4*$Y$18</f>
        <v>1407.20544789759</v>
      </c>
      <c r="Q4" s="70"/>
      <c r="R4" s="70" t="n">
        <f aca="false">(AB33+$AB$36+$AB$37)*$Y$18</f>
        <v>3818.23888441989</v>
      </c>
      <c r="S4" s="64"/>
      <c r="T4" s="30"/>
      <c r="U4" s="30"/>
      <c r="V4" s="45"/>
      <c r="W4" s="104" t="s">
        <v>96</v>
      </c>
      <c r="X4" s="104" t="str">
        <f aca="true">IFERROR(INDEX(INDIRECT(F3&amp;"Table"),MATCH(F4,INDIRECT(F3&amp;"Table"&amp;"[Name]"),0),COLUMN(INDIRECT(F3&amp;"Table"&amp;"[Ammo]"))),0)</f>
        <v>Normal</v>
      </c>
      <c r="Y4" s="104" t="str">
        <f aca="true">IFERROR(INDEX(INDIRECT(G3&amp;"Table"),MATCH(G4,INDIRECT(G3&amp;"Table"&amp;"[Name]"),0),COLUMN(INDIRECT(G3&amp;"Table"&amp;"[Ammo]"))),0)</f>
        <v>Normal</v>
      </c>
      <c r="Z4" s="104" t="str">
        <f aca="true">IFERROR(INDEX(INDIRECT(C3&amp;"Table"),MATCH(C2,INDIRECT(C3&amp;"Table"&amp;"[Name]"),0),COLUMN(INDIRECT(C3&amp;"Table"&amp;"["&amp;W4&amp;"3"&amp;"]"))),0)</f>
        <v>B</v>
      </c>
      <c r="AA4" s="104"/>
      <c r="AB4" s="104" t="s">
        <v>78</v>
      </c>
      <c r="AC4" s="11"/>
      <c r="AD4" s="44" t="n">
        <f aca="false">IF(OR(Z4="Normal", Z4="Magnetic",Z4="AP"), 0,IFERROR(INDEX(BurnT[],MATCH(H3,BurnT[Type],0),COLUMN(BurnT[Burn])),0))</f>
        <v>0</v>
      </c>
      <c r="AE4" s="45"/>
      <c r="AF4" s="45"/>
      <c r="AG4" s="45"/>
      <c r="AH4" s="45"/>
      <c r="AI4" s="45"/>
      <c r="AJ4" s="45"/>
      <c r="AK4" s="45"/>
      <c r="AL4" s="45"/>
    </row>
    <row r="5" customFormat="false" ht="14.4" hidden="false" customHeight="false" outlineLevel="0" collapsed="false">
      <c r="A5" s="1"/>
      <c r="B5" s="20" t="s">
        <v>335</v>
      </c>
      <c r="C5" s="72" t="n">
        <f aca="true">IFERROR(INDEX(INDIRECT(C3&amp;"Table"),MATCH(C2,INDIRECT(C3&amp;"Table"&amp;"[Name]"),0),COLUMN(INDIRECT(C3&amp;"Table"&amp;"["&amp;B5&amp;"]"))),0)</f>
        <v>238</v>
      </c>
      <c r="D5" s="72" t="n">
        <f aca="true">IFERROR(INDEX(INDIRECT(D3&amp;"Table"),MATCH(D4,INDIRECT(D3&amp;"Table"&amp;"[Name]"),0),COLUMN(INDIRECT(D3&amp;"Table"&amp;"["&amp;B5&amp;"]"))),0)</f>
        <v>0</v>
      </c>
      <c r="E5" s="72" t="n">
        <f aca="true">IFERROR(INDEX(INDIRECT(E3&amp;"Table"),MATCH(E4,INDIRECT(E3&amp;"Table"&amp;"[Name]"),0),COLUMN(INDIRECT(E3&amp;"Table"&amp;"["&amp;B5&amp;"]"))),0)</f>
        <v>0</v>
      </c>
      <c r="F5" s="72" t="n">
        <f aca="true">IFERROR(INDEX(INDIRECT(F3&amp;"Table"),MATCH(F4,INDIRECT(F3&amp;"Table"&amp;"[Name]"),0),COLUMN(INDIRECT(F3&amp;"Table"&amp;"["&amp;B5&amp;"]"))),0)</f>
        <v>0</v>
      </c>
      <c r="G5" s="72" t="n">
        <f aca="true">IFERROR(INDEX(INDIRECT(G3&amp;"Table"),MATCH(G4,INDIRECT(G3&amp;"Table"&amp;"[Name]"),0),COLUMN(INDIRECT(G3&amp;"Table"&amp;"["&amp;B5&amp;"]"))),0)</f>
        <v>0</v>
      </c>
      <c r="H5" s="72" t="n">
        <f aca="true">IFERROR(INDEX(INDIRECT(G3&amp;"Table"),MATCH(G4,INDIRECT(G3&amp;"Table"&amp;"[Name]"),0),COLUMN(INDIRECT(G3&amp;"Table"&amp;"["&amp;B5&amp;"]"))),0)</f>
        <v>0</v>
      </c>
      <c r="I5" s="12"/>
      <c r="J5" s="67"/>
      <c r="K5" s="68" t="s">
        <v>140</v>
      </c>
      <c r="L5" s="70" t="n">
        <f aca="false">Z27*$Y$18+R5+Z29+Z30</f>
        <v>51211.2245648545</v>
      </c>
      <c r="M5" s="70"/>
      <c r="N5" s="70" t="n">
        <f aca="false">L5/$AD$7/$Y$18</f>
        <v>1778.167519613</v>
      </c>
      <c r="O5" s="70"/>
      <c r="P5" s="70" t="n">
        <f aca="false">N5*$Y$18</f>
        <v>1778.167519613</v>
      </c>
      <c r="Q5" s="70"/>
      <c r="R5" s="70" t="n">
        <f aca="false">(AB34+$AB$36+$AB$37)*$Y$18</f>
        <v>4772.79860552486</v>
      </c>
      <c r="S5" s="64"/>
      <c r="T5" s="30"/>
      <c r="U5" s="30"/>
      <c r="V5" s="45"/>
      <c r="W5" s="104" t="s">
        <v>138</v>
      </c>
      <c r="X5" s="27" t="n">
        <f aca="true">IFERROR(INDEX(INDIRECT(F3&amp;"Coef"),MATCH(X4,INDIRECT(F3&amp;"Coef"&amp;"[Ammo]"),0),COLUMN(INDIRECT(F3&amp;"Coef"&amp;"["&amp;W5&amp;"]"))),0)</f>
        <v>0.8</v>
      </c>
      <c r="Y5" s="27" t="n">
        <f aca="true">IFERROR(INDEX(INDIRECT(G3&amp;"Coef"),MATCH(Y4,INDIRECT(G3&amp;"Coef"&amp;"[Ammo]"),0),COLUMN(INDIRECT(G3&amp;"Coef"&amp;"["&amp;W5&amp;"]"))),0)</f>
        <v>0.8</v>
      </c>
      <c r="Z5" s="27" t="n">
        <f aca="false">IFERROR(INDEX(IF(H3="TB",TorpedoDamage[],IF(T21="Y",BombDamageEmpirical[],BombDamage[])),MATCH(H4,IF(H3="TB",TorpedoDamage[Name],IF(T21="Y",BombDamageEmpirical[Name],BombDamage[Name])),0),COLUMN(IF(H3="TB",TorpedoDamage[Light],IF(T21="Y",BombDamageEmpirical[Light],BombDamage[Light])))),0)</f>
        <v>321.75</v>
      </c>
      <c r="AA5" s="11"/>
      <c r="AB5" s="104" t="s">
        <v>336</v>
      </c>
      <c r="AC5" s="11"/>
      <c r="AD5" s="27" t="n">
        <v>5</v>
      </c>
      <c r="AE5" s="45"/>
      <c r="AF5" s="45"/>
      <c r="AG5" s="45"/>
      <c r="AH5" s="45"/>
      <c r="AI5" s="45"/>
      <c r="AJ5" s="45"/>
      <c r="AK5" s="45"/>
      <c r="AL5" s="45"/>
    </row>
    <row r="6" customFormat="false" ht="14.4" hidden="false" customHeight="false" outlineLevel="0" collapsed="false">
      <c r="A6" s="1"/>
      <c r="B6" s="20" t="s">
        <v>45</v>
      </c>
      <c r="C6" s="72" t="n">
        <f aca="true">IFERROR(INDEX(INDIRECT(C3&amp;"Table"),MATCH(C2,INDIRECT(C3&amp;"Table"&amp;"[Name]"),0),COLUMN(INDIRECT(C3&amp;"Table"&amp;"["&amp;B6&amp;"]"))),0)</f>
        <v>2657</v>
      </c>
      <c r="D6" s="72" t="n">
        <f aca="true">IFERROR(INDEX(INDIRECT(D3&amp;"Table"),MATCH(D4,INDIRECT(D3&amp;"Table"&amp;"[Name]"),0),COLUMN(INDIRECT(D3&amp;"Table"&amp;"["&amp;B6&amp;"]"))),0)</f>
        <v>0</v>
      </c>
      <c r="E6" s="72" t="n">
        <f aca="true">IFERROR(INDEX(INDIRECT(E3&amp;"Table"),MATCH(E4,INDIRECT(E3&amp;"Table"&amp;"[Name]"),0),COLUMN(INDIRECT(E3&amp;"Table"&amp;"["&amp;B6&amp;"]"))),0)</f>
        <v>0</v>
      </c>
      <c r="F6" s="72" t="n">
        <f aca="true">IFERROR(INDEX(INDIRECT(F3&amp;"Table"),MATCH(F4,INDIRECT(F3&amp;"Table"&amp;"[Name]"),0),COLUMN(INDIRECT(F3&amp;"Table"&amp;"["&amp;B6&amp;"]"))),0)</f>
        <v>0</v>
      </c>
      <c r="G6" s="72" t="n">
        <f aca="true">IFERROR(INDEX(INDIRECT(G3&amp;"Table"),MATCH(G4,INDIRECT(G3&amp;"Table"&amp;"[Name]"),0),COLUMN(INDIRECT(G3&amp;"Table"&amp;"["&amp;B6&amp;"]"))),0)</f>
        <v>0</v>
      </c>
      <c r="H6" s="72" t="n">
        <f aca="true">IFERROR(INDEX(INDIRECT(G3&amp;"Table"),MATCH(G4,INDIRECT(G3&amp;"Table"&amp;"[Name]"),0),COLUMN(INDIRECT(G3&amp;"Table"&amp;"["&amp;B6&amp;"]"))),0)</f>
        <v>0</v>
      </c>
      <c r="I6" s="12"/>
      <c r="J6" s="67"/>
      <c r="K6" s="68" t="s">
        <v>142</v>
      </c>
      <c r="L6" s="70" t="n">
        <f aca="false">Z28*$Y$18+R6+Z29+Z30</f>
        <v>65691.6664294446</v>
      </c>
      <c r="M6" s="70"/>
      <c r="N6" s="70" t="n">
        <f aca="false">L6/$AD$7/$Y$18</f>
        <v>2280.96063991127</v>
      </c>
      <c r="O6" s="70"/>
      <c r="P6" s="70" t="n">
        <f aca="false">N6*$Y$18</f>
        <v>2280.96063991127</v>
      </c>
      <c r="Q6" s="70"/>
      <c r="R6" s="70" t="n">
        <f aca="false">(AB35+$AB$36+$AB$37)*$Y$18</f>
        <v>6204.63818718232</v>
      </c>
      <c r="S6" s="64"/>
      <c r="T6" s="30"/>
      <c r="U6" s="30"/>
      <c r="V6" s="45"/>
      <c r="W6" s="104" t="s">
        <v>140</v>
      </c>
      <c r="X6" s="27" t="n">
        <f aca="true">IFERROR(INDEX(INDIRECT(F3&amp;"Coef"),MATCH(X4,INDIRECT(F3&amp;"Coef"&amp;"[Ammo]"),0),COLUMN(INDIRECT(F3&amp;"Coef"&amp;"["&amp;W6&amp;"]"))),0)</f>
        <v>1</v>
      </c>
      <c r="Y6" s="27" t="n">
        <f aca="true">IFERROR(INDEX(INDIRECT(G3&amp;"Coef"),MATCH(Y4,INDIRECT(G3&amp;"Coef"&amp;"[Ammo]"),0),COLUMN(INDIRECT(G3&amp;"Coef"&amp;"["&amp;W6&amp;"]"))),0)</f>
        <v>1</v>
      </c>
      <c r="Z6" s="27" t="n">
        <f aca="false">IFERROR(INDEX(IF(H3="TB",TorpedoDamage[],IF(T21="Y",BombDamageEmpirical[],BombDamage[])),MATCH(H4,IF(H3="TB",TorpedoDamage[Name],IF(T21="Y",BombDamageEmpirical[Name],BombDamage[Name])),0),COLUMN(IF(H3="TB",TorpedoDamage[Medium],IF(T21="Y",BombDamageEmpirical[Medium],BombDamage[Medium])))),0)</f>
        <v>429</v>
      </c>
      <c r="AA6" s="11"/>
      <c r="AB6" s="104" t="s">
        <v>337</v>
      </c>
      <c r="AC6" s="11"/>
      <c r="AD6" s="27" t="n">
        <f aca="false">G21/10</f>
        <v>23.8</v>
      </c>
      <c r="AE6" s="45"/>
      <c r="AF6" s="45"/>
      <c r="AG6" s="45"/>
      <c r="AH6" s="45"/>
      <c r="AI6" s="45"/>
      <c r="AJ6" s="45"/>
      <c r="AK6" s="45"/>
      <c r="AL6" s="45"/>
    </row>
    <row r="7" customFormat="false" ht="14.4" hidden="false" customHeight="false" outlineLevel="0" collapsed="false">
      <c r="A7" s="1"/>
      <c r="B7" s="20" t="s">
        <v>98</v>
      </c>
      <c r="C7" s="72" t="n">
        <f aca="true">IFERROR(INDEX(INDIRECT(C3&amp;"Table"),MATCH(C2,INDIRECT(C3&amp;"Table"&amp;"[Name]"),0),COLUMN(INDIRECT(C3&amp;"Table"&amp;"["&amp;B7&amp;"]"))),0)</f>
        <v>59</v>
      </c>
      <c r="D7" s="72" t="n">
        <f aca="true">IFERROR(INDEX(INDIRECT(D3&amp;"Table"),MATCH(D4,INDIRECT(D3&amp;"Table"&amp;"[Name]"),0),COLUMN(INDIRECT(D3&amp;"Table"&amp;"["&amp;B7&amp;"]"))),0)</f>
        <v>0</v>
      </c>
      <c r="E7" s="72" t="n">
        <f aca="true">IFERROR(INDEX(INDIRECT(E3&amp;"Table"),MATCH(E4,INDIRECT(E3&amp;"Table"&amp;"[Name]"),0),COLUMN(INDIRECT(E3&amp;"Table"&amp;"["&amp;B7&amp;"]"))),0)</f>
        <v>0</v>
      </c>
      <c r="F7" s="72" t="n">
        <f aca="true">IFERROR(INDEX(INDIRECT(F3&amp;"Table"),MATCH(F4,INDIRECT(F3&amp;"Table"&amp;"[Name]"),0),COLUMN(INDIRECT(F3&amp;"Table"&amp;"["&amp;B7&amp;"]"))),0)</f>
        <v>0</v>
      </c>
      <c r="G7" s="72" t="n">
        <f aca="true">IFERROR(INDEX(INDIRECT(G3&amp;"Table"),MATCH(G4,INDIRECT(G3&amp;"Table"&amp;"[Name]"),0),COLUMN(INDIRECT(G3&amp;"Table"&amp;"["&amp;B7&amp;"]"))),0)</f>
        <v>0</v>
      </c>
      <c r="H7" s="72" t="n">
        <f aca="true">IFERROR(INDEX(INDIRECT(H3&amp;"Table"),MATCH(H4,INDIRECT(H3&amp;"Table"&amp;"[Name]"),0),COLUMN(INDIRECT(H3&amp;"Table"&amp;"["&amp;B7&amp;"]"))),0)</f>
        <v>0</v>
      </c>
      <c r="I7" s="12"/>
      <c r="J7" s="67" t="s">
        <v>360</v>
      </c>
      <c r="K7" s="68"/>
      <c r="L7" s="64" t="n">
        <f aca="false">FLOOR(2*Z9*SUM(C10:H10)/100,1)</f>
        <v>44</v>
      </c>
      <c r="M7" s="64"/>
      <c r="N7" s="64"/>
      <c r="O7" s="64"/>
      <c r="P7" s="64"/>
      <c r="Q7" s="64"/>
      <c r="R7" s="64"/>
      <c r="S7" s="64"/>
      <c r="T7" s="64"/>
      <c r="U7" s="30"/>
      <c r="V7" s="45"/>
      <c r="W7" s="104" t="s">
        <v>142</v>
      </c>
      <c r="X7" s="27" t="n">
        <f aca="true">IFERROR(INDEX(INDIRECT(F3&amp;"Coef"),MATCH(X4,INDIRECT(F3&amp;"Coef"&amp;"[Ammo]"),0),COLUMN(INDIRECT(F3&amp;"Coef"&amp;"["&amp;W7&amp;"]"))),0)</f>
        <v>1.3</v>
      </c>
      <c r="Y7" s="27" t="n">
        <f aca="true">IFERROR(INDEX(INDIRECT(G3&amp;"Coef"),MATCH(Y4,INDIRECT(G3&amp;"Coef"&amp;"[Ammo]"),0),COLUMN(INDIRECT(G3&amp;"Coef"&amp;"["&amp;W7&amp;"]"))),0)</f>
        <v>1.3</v>
      </c>
      <c r="Z7" s="27" t="n">
        <f aca="false">IFERROR(INDEX(IF(H3="TB",TorpedoDamage[],IF(T21="Y",BombDamageEmpirical[],BombDamage[])),MATCH(H4,IF(H3="TB",TorpedoDamage[Name],IF(T21="Y",BombDamageEmpirical[Name],BombDamage[Name])),0),COLUMN(IF(H3="TB",TorpedoDamage[Heavy],IF(T21="Y",BombDamageEmpirical[Heavy],BombDamage[Heavy])))),0)</f>
        <v>514.8</v>
      </c>
      <c r="AA7" s="11"/>
      <c r="AB7" s="104" t="s">
        <v>338</v>
      </c>
      <c r="AC7" s="11"/>
      <c r="AD7" s="27" t="n">
        <f aca="false">AD5+AD6</f>
        <v>28.8</v>
      </c>
      <c r="AE7" s="45"/>
      <c r="AF7" s="45"/>
      <c r="AG7" s="45"/>
      <c r="AH7" s="45"/>
      <c r="AI7" s="45"/>
      <c r="AJ7" s="45"/>
      <c r="AK7" s="45"/>
      <c r="AL7" s="45"/>
    </row>
    <row r="8" customFormat="false" ht="14.4" hidden="false" customHeight="false" outlineLevel="0" collapsed="false">
      <c r="A8" s="1"/>
      <c r="B8" s="20" t="s">
        <v>99</v>
      </c>
      <c r="C8" s="72" t="n">
        <f aca="true">IFERROR(INDEX(INDIRECT(C3&amp;"Table"),MATCH(C2,INDIRECT(C3&amp;"Table"&amp;"[Name]"),0),COLUMN(INDIRECT(C3&amp;"Table"&amp;"["&amp;B8&amp;"]"))),0)</f>
        <v>514</v>
      </c>
      <c r="D8" s="72" t="n">
        <f aca="true">IFERROR(INDEX(INDIRECT(D3&amp;"Table"),MATCH(D4,INDIRECT(D3&amp;"Table"&amp;"[Name]"),0),COLUMN(INDIRECT(D3&amp;"Table"&amp;"["&amp;B8&amp;"]"))),0)</f>
        <v>100</v>
      </c>
      <c r="E8" s="72" t="n">
        <f aca="true">IFERROR(INDEX(INDIRECT(E3&amp;"Table"),MATCH(E4,INDIRECT(E3&amp;"Table"&amp;"[Name]"),0),COLUMN(INDIRECT(E3&amp;"Table"&amp;"["&amp;B8&amp;"]"))),0)</f>
        <v>100</v>
      </c>
      <c r="F8" s="72" t="n">
        <f aca="true">IFERROR(INDEX(INDIRECT(F3&amp;"Table"),MATCH(F4,INDIRECT(F3&amp;"Table"&amp;"[Name]"),0),COLUMN(INDIRECT(F3&amp;"Table"&amp;"["&amp;B8&amp;"]"))),0)</f>
        <v>45</v>
      </c>
      <c r="G8" s="72" t="n">
        <f aca="true">IFERROR(INDEX(INDIRECT(G3&amp;"Table"),MATCH(G4,INDIRECT(G3&amp;"Table"&amp;"[Name]"),0),COLUMN(INDIRECT(G3&amp;"Table"&amp;"["&amp;B8&amp;"]"))),0)</f>
        <v>45</v>
      </c>
      <c r="H8" s="72" t="n">
        <f aca="true">IFERROR(INDEX(INDIRECT(H3&amp;"Table"),MATCH(H4,INDIRECT(H3&amp;"Table"&amp;"[Name]"),0),COLUMN(INDIRECT(H3&amp;"Table"&amp;"["&amp;B8&amp;"]"))),0)</f>
        <v>0</v>
      </c>
      <c r="I8" s="12"/>
      <c r="J8" s="67" t="s">
        <v>144</v>
      </c>
      <c r="K8" s="68"/>
      <c r="L8" s="64" t="n">
        <f aca="false">Y16</f>
        <v>26570</v>
      </c>
      <c r="M8" s="64"/>
      <c r="N8" s="64"/>
      <c r="O8" s="64"/>
      <c r="P8" s="64"/>
      <c r="Q8" s="64"/>
      <c r="R8" s="64"/>
      <c r="S8" s="64"/>
      <c r="T8" s="64"/>
      <c r="U8" s="30"/>
      <c r="V8" s="45"/>
      <c r="W8" s="104" t="s">
        <v>361</v>
      </c>
      <c r="X8" s="27" t="n">
        <f aca="false">F19*L20+MIN(FLOOR((MAX(AD7-(AD8+(F19*0.75)),0))/0.75,1),F19*L20)</f>
        <v>10</v>
      </c>
      <c r="Y8" s="27" t="n">
        <f aca="false">G19*L20+MIN(FLOOR((MAX(AD7-(AD9+(F19*0.75)+(G19*0.75)),0))/0.75,1),G19*L20)</f>
        <v>7</v>
      </c>
      <c r="Z8" s="27" t="n">
        <f aca="true">IFERROR(INDEX(INDIRECT(C3&amp;"Table"),MATCH(C2,INDIRECT(C3&amp;"Table"&amp;"[Name]"),0),COLUMN(INDIRECT(C3&amp;"Table"&amp;"["&amp;"Plane3"&amp;"]"))),0)</f>
        <v>2</v>
      </c>
      <c r="AA8" s="11"/>
      <c r="AB8" s="104" t="s">
        <v>340</v>
      </c>
      <c r="AC8" s="27"/>
      <c r="AD8" s="27" t="n">
        <f aca="false">L22*F20</f>
        <v>22.9989956112574</v>
      </c>
      <c r="AE8" s="45"/>
      <c r="AF8" s="45"/>
      <c r="AG8" s="45"/>
      <c r="AH8" s="45"/>
      <c r="AI8" s="45"/>
      <c r="AJ8" s="45"/>
      <c r="AK8" s="45"/>
      <c r="AL8" s="45"/>
    </row>
    <row r="9" customFormat="false" ht="14.4" hidden="false" customHeight="false" outlineLevel="0" collapsed="false">
      <c r="A9" s="1"/>
      <c r="B9" s="20" t="s">
        <v>50</v>
      </c>
      <c r="C9" s="72" t="n">
        <f aca="true">IFERROR(INDEX(INDIRECT(C3&amp;"Table"),MATCH(C2,INDIRECT(C3&amp;"Table"&amp;"[Name]"),0),COLUMN(INDIRECT(C3&amp;"Table"&amp;"["&amp;B9&amp;"]"))),0)</f>
        <v>0</v>
      </c>
      <c r="D9" s="72" t="n">
        <f aca="true">IFERROR(INDEX(INDIRECT(D3&amp;"Table"),MATCH(D4,INDIRECT(D3&amp;"Table"&amp;"[Name]"),0),COLUMN(INDIRECT(D3&amp;"Table"&amp;"["&amp;B9&amp;"]"))),0)</f>
        <v>0</v>
      </c>
      <c r="E9" s="72" t="n">
        <f aca="true">IFERROR(INDEX(INDIRECT(E3&amp;"Table"),MATCH(E4,INDIRECT(E3&amp;"Table"&amp;"[Name]"),0),COLUMN(INDIRECT(E3&amp;"Table"&amp;"["&amp;B9&amp;"]"))),0)</f>
        <v>0</v>
      </c>
      <c r="F9" s="72" t="n">
        <f aca="true">IFERROR(INDEX(INDIRECT(F3&amp;"Table"),MATCH(F4,INDIRECT(F3&amp;"Table"&amp;"[Name]"),0),COLUMN(INDIRECT(F3&amp;"Table"&amp;"["&amp;B9&amp;"]"))),0)</f>
        <v>0</v>
      </c>
      <c r="G9" s="72" t="n">
        <f aca="true">IFERROR(INDEX(INDIRECT(G3&amp;"Table"),MATCH(G4,INDIRECT(G3&amp;"Table"&amp;"[Name]"),0),COLUMN(INDIRECT(G3&amp;"Table"&amp;"["&amp;B9&amp;"]"))),0)</f>
        <v>0</v>
      </c>
      <c r="H9" s="72" t="n">
        <f aca="true">IFERROR(INDEX(INDIRECT(H3&amp;"Table"),MATCH(H4,INDIRECT(H3&amp;"Table"&amp;"[Name]"),0),COLUMN(INDIRECT(H3&amp;"Table"&amp;"["&amp;B9&amp;"]"))),0)</f>
        <v>0</v>
      </c>
      <c r="I9" s="12"/>
      <c r="J9" s="67" t="s">
        <v>148</v>
      </c>
      <c r="K9" s="68"/>
      <c r="L9" s="44" t="n">
        <f aca="false">Y18</f>
        <v>1</v>
      </c>
      <c r="M9" s="64"/>
      <c r="N9" s="67" t="s">
        <v>341</v>
      </c>
      <c r="O9" s="136"/>
      <c r="P9" s="64" t="n">
        <f aca="false">F20*L22</f>
        <v>22.9989956112574</v>
      </c>
      <c r="Q9" s="76"/>
      <c r="R9" s="27" t="str">
        <f aca="false">F4</f>
        <v>Mark 16 Torpedo</v>
      </c>
      <c r="S9" s="27"/>
      <c r="T9" s="27"/>
      <c r="U9" s="30"/>
      <c r="V9" s="45"/>
      <c r="W9" s="104" t="s">
        <v>268</v>
      </c>
      <c r="X9" s="27"/>
      <c r="Y9" s="27"/>
      <c r="Z9" s="27" t="n">
        <f aca="false">(IF(Z4="F",10*Z8,IF(Z4="B",4*Z8,IF(Z4="T",5*Z8,0))))</f>
        <v>8</v>
      </c>
      <c r="AA9" s="11"/>
      <c r="AB9" s="104" t="s">
        <v>342</v>
      </c>
      <c r="AC9" s="27"/>
      <c r="AD9" s="27" t="n">
        <f aca="false">L22*G20</f>
        <v>22.9989956112574</v>
      </c>
      <c r="AE9" s="45"/>
      <c r="AF9" s="45"/>
      <c r="AG9" s="45"/>
      <c r="AH9" s="45"/>
      <c r="AI9" s="45"/>
      <c r="AJ9" s="45"/>
      <c r="AK9" s="45"/>
      <c r="AL9" s="45"/>
    </row>
    <row r="10" customFormat="false" ht="14.4" hidden="false" customHeight="false" outlineLevel="0" collapsed="false">
      <c r="A10" s="1"/>
      <c r="B10" s="20" t="s">
        <v>262</v>
      </c>
      <c r="C10" s="72" t="n">
        <f aca="true">IFERROR(INDEX(INDIRECT(C3&amp;"Table"),MATCH(C2,INDIRECT(C3&amp;"Table"&amp;"[Name]"),0),COLUMN(INDIRECT(C3&amp;"Table"&amp;"["&amp;B10&amp;"]"))),0)</f>
        <v>252</v>
      </c>
      <c r="D10" s="72" t="n">
        <f aca="true">IFERROR(INDEX(INDIRECT(D3&amp;"Table"),MATCH(D4,INDIRECT(D3&amp;"Table"&amp;"[Name]"),0),COLUMN(INDIRECT(D3&amp;"Table"&amp;"["&amp;B10&amp;"]"))),0)</f>
        <v>0</v>
      </c>
      <c r="E10" s="72" t="n">
        <f aca="true">IFERROR(INDEX(INDIRECT(E3&amp;"Table"),MATCH(E4,INDIRECT(E3&amp;"Table"&amp;"[Name]"),0),COLUMN(INDIRECT(E3&amp;"Table"&amp;"["&amp;B10&amp;"]"))),0)</f>
        <v>0</v>
      </c>
      <c r="F10" s="72" t="n">
        <f aca="true">IFERROR(INDEX(INDIRECT(F3&amp;"Table"),MATCH(F4,INDIRECT(F3&amp;"Table"&amp;"[Name]"),0),COLUMN(INDIRECT(F3&amp;"Table"&amp;"["&amp;B10&amp;"]"))),0)</f>
        <v>0</v>
      </c>
      <c r="G10" s="72" t="n">
        <f aca="true">IFERROR(INDEX(INDIRECT(G3&amp;"Table"),MATCH(G4,INDIRECT(G3&amp;"Table"&amp;"[Name]"),0),COLUMN(INDIRECT(G3&amp;"Table"&amp;"["&amp;B10&amp;"]"))),0)</f>
        <v>0</v>
      </c>
      <c r="H10" s="72" t="n">
        <f aca="true">IFERROR(INDEX(INDIRECT(H3&amp;"Table"),MATCH(H4,INDIRECT(H3&amp;"Table"&amp;"[Name]"),0),COLUMN(INDIRECT(H3&amp;"Table"&amp;"["&amp;B10&amp;"]"))),0)</f>
        <v>25</v>
      </c>
      <c r="I10" s="12"/>
      <c r="J10" s="67" t="s">
        <v>153</v>
      </c>
      <c r="K10" s="68"/>
      <c r="L10" s="44" t="n">
        <f aca="false">Y20</f>
        <v>0.1</v>
      </c>
      <c r="M10" s="64"/>
      <c r="N10" s="67" t="s">
        <v>343</v>
      </c>
      <c r="O10" s="78"/>
      <c r="P10" s="70" t="n">
        <f aca="false">G20*L22</f>
        <v>22.9989956112574</v>
      </c>
      <c r="Q10" s="76"/>
      <c r="R10" s="27" t="str">
        <f aca="false">G4</f>
        <v>Mark 16 Torpedo</v>
      </c>
      <c r="S10" s="27"/>
      <c r="T10" s="27" t="str">
        <f aca="false">D4</f>
        <v>Type 93 Rainbow</v>
      </c>
      <c r="U10" s="30"/>
      <c r="V10" s="45"/>
      <c r="W10" s="104" t="s">
        <v>188</v>
      </c>
      <c r="X10" s="27"/>
      <c r="Y10" s="44" t="n">
        <f aca="false">1+(0.05+((SUM(C17:H17)*P17)/(SUM(C17:H17)*P17+2000+T16))+((SUM(C16:H16)-T14)/5000)+Y13)*(L16+Y12+L17)</f>
        <v>1.06659484346225</v>
      </c>
      <c r="Z10" s="27"/>
      <c r="AA10" s="11"/>
      <c r="AB10" s="104"/>
      <c r="AC10" s="11"/>
      <c r="AD10" s="27"/>
      <c r="AE10" s="45"/>
      <c r="AF10" s="45"/>
      <c r="AG10" s="45"/>
      <c r="AH10" s="45"/>
      <c r="AI10" s="45"/>
      <c r="AJ10" s="45"/>
      <c r="AK10" s="45"/>
      <c r="AL10" s="45"/>
    </row>
    <row r="11" customFormat="false" ht="14.4" hidden="false" customHeight="false" outlineLevel="0" collapsed="false">
      <c r="A11" s="1"/>
      <c r="B11" s="20" t="s">
        <v>100</v>
      </c>
      <c r="C11" s="72" t="n">
        <f aca="true">IFERROR(INDEX(INDIRECT(C3&amp;"Table"),MATCH(C2,INDIRECT(C3&amp;"Table"&amp;"[Name]"),0),COLUMN(INDIRECT(C3&amp;"Table"&amp;"["&amp;B11&amp;"]"))),0)</f>
        <v>109</v>
      </c>
      <c r="D11" s="72" t="n">
        <f aca="true">IFERROR(INDEX(INDIRECT(D3&amp;"Table"),MATCH(D4,INDIRECT(D3&amp;"Table"&amp;"[Name]"),0),COLUMN(INDIRECT(D3&amp;"Table"&amp;"["&amp;B11&amp;"]"))),0)</f>
        <v>10</v>
      </c>
      <c r="E11" s="72" t="n">
        <f aca="true">IFERROR(INDEX(INDIRECT(E3&amp;"Table"),MATCH(E4,INDIRECT(E3&amp;"Table"&amp;"[Name]"),0),COLUMN(INDIRECT(E3&amp;"Table"&amp;"["&amp;B11&amp;"]"))),0)</f>
        <v>10</v>
      </c>
      <c r="F11" s="72" t="n">
        <f aca="true">IFERROR(INDEX(INDIRECT(F3&amp;"Table"),MATCH(F4,INDIRECT(F3&amp;"Table"&amp;"[Name]"),0),COLUMN(INDIRECT(F3&amp;"Table"&amp;"["&amp;B11&amp;"]"))),0)</f>
        <v>0</v>
      </c>
      <c r="G11" s="72" t="n">
        <f aca="true">IFERROR(INDEX(INDIRECT(G3&amp;"Table"),MATCH(G4,INDIRECT(G3&amp;"Table"&amp;"[Name]"),0),COLUMN(INDIRECT(G3&amp;"Table"&amp;"["&amp;B11&amp;"]"))),0)</f>
        <v>0</v>
      </c>
      <c r="H11" s="72" t="n">
        <f aca="true">IFERROR(INDEX(INDIRECT(H3&amp;"Table"),MATCH(H4,INDIRECT(H3&amp;"Table"&amp;"[Name]"),0),COLUMN(INDIRECT(H3&amp;"Table"&amp;"["&amp;B11&amp;"]"))),0)</f>
        <v>0</v>
      </c>
      <c r="I11" s="12"/>
      <c r="J11" s="67" t="s">
        <v>344</v>
      </c>
      <c r="K11" s="68"/>
      <c r="L11" s="70" t="n">
        <f aca="false">AD7</f>
        <v>28.8</v>
      </c>
      <c r="M11" s="64"/>
      <c r="N11" s="67" t="s">
        <v>345</v>
      </c>
      <c r="O11" s="78"/>
      <c r="P11" s="70" t="n">
        <f aca="false">H20*L22</f>
        <v>13.3639023665575</v>
      </c>
      <c r="Q11" s="76"/>
      <c r="R11" s="27" t="str">
        <f aca="false">H4</f>
        <v>Seiran</v>
      </c>
      <c r="S11" s="27"/>
      <c r="T11" s="27" t="str">
        <f aca="false">E4</f>
        <v>Type 93 Rainbow</v>
      </c>
      <c r="U11" s="30"/>
      <c r="V11" s="45"/>
      <c r="W11" s="104" t="s">
        <v>183</v>
      </c>
      <c r="X11" s="27"/>
      <c r="Y11" s="44" t="n">
        <f aca="false">1+(0.05+((SUM(C17:H17)*P17)/(SUM(C17:H17)*P17+2000+T16))+((SUM(C16:H16)-T14)/5000)+Y13)*(L16+Y12+L18)</f>
        <v>1.06659484346225</v>
      </c>
      <c r="Z11" s="27"/>
      <c r="AA11" s="11"/>
      <c r="AB11" s="104"/>
      <c r="AC11" s="11"/>
      <c r="AD11" s="27"/>
      <c r="AE11" s="45"/>
      <c r="AF11" s="45"/>
      <c r="AG11" s="45"/>
      <c r="AH11" s="45"/>
      <c r="AI11" s="45"/>
      <c r="AJ11" s="45"/>
      <c r="AK11" s="45"/>
      <c r="AL11" s="45"/>
    </row>
    <row r="12" customFormat="false" ht="14.4" hidden="false" customHeight="false" outlineLevel="0" collapsed="false">
      <c r="A12" s="1"/>
      <c r="B12" s="20" t="s">
        <v>151</v>
      </c>
      <c r="C12" s="72" t="n">
        <f aca="true">IFERROR(INDEX(INDIRECT(C3&amp;"Table"),MATCH(C2,INDIRECT(C3&amp;"Table"&amp;"[Name]"),0),COLUMN(INDIRECT(C3&amp;"Table"&amp;"["&amp;B12&amp;"]"))),0)</f>
        <v>1.35</v>
      </c>
      <c r="D12" s="72" t="n">
        <f aca="true">IFERROR(INDEX(INDIRECT(D3&amp;"Table"),MATCH(D4,INDIRECT(D3&amp;"Table"&amp;"[Name]"),0),COLUMN(INDIRECT(D3&amp;"Table"&amp;"["&amp;B12&amp;"]"))),0)</f>
        <v>0</v>
      </c>
      <c r="E12" s="72" t="n">
        <f aca="true">IFERROR(INDEX(INDIRECT(E3&amp;"Table"),MATCH(E4,INDIRECT(E3&amp;"Table"&amp;"[Name]"),0),COLUMN(INDIRECT(E3&amp;"Table"&amp;"["&amp;B12&amp;"]"))),0)</f>
        <v>0</v>
      </c>
      <c r="F12" s="72" t="n">
        <f aca="true">IFERROR(INDEX(INDIRECT(F3&amp;"Table"),MATCH(F4,INDIRECT(F3&amp;"Table"&amp;"[Name]"),0),COLUMN(INDIRECT(F3&amp;"Table"&amp;"["&amp;B12&amp;"]"))),0)</f>
        <v>0</v>
      </c>
      <c r="G12" s="72" t="n">
        <f aca="true">IFERROR(INDEX(INDIRECT(G3&amp;"Table"),MATCH(G4,INDIRECT(G3&amp;"Table"&amp;"[Name]"),0),COLUMN(INDIRECT(G3&amp;"Table"&amp;"["&amp;B12&amp;"]"))),0)</f>
        <v>0</v>
      </c>
      <c r="H12" s="72" t="n">
        <f aca="true">IFERROR(INDEX(INDIRECT(H3&amp;"Table"),MATCH(H4,INDIRECT(H3&amp;"Table"&amp;"[Name]"),0),COLUMN(INDIRECT(H3&amp;"Table"&amp;"["&amp;B12&amp;"]"))),0)</f>
        <v>0</v>
      </c>
      <c r="I12" s="12"/>
      <c r="J12" s="58"/>
      <c r="K12" s="58"/>
      <c r="L12" s="58"/>
      <c r="M12" s="58"/>
      <c r="N12" s="58"/>
      <c r="O12" s="58"/>
      <c r="P12" s="58"/>
      <c r="Q12" s="58"/>
      <c r="R12" s="58"/>
      <c r="S12" s="58"/>
      <c r="T12" s="58"/>
      <c r="U12" s="58"/>
      <c r="V12" s="45"/>
      <c r="W12" s="104" t="s">
        <v>168</v>
      </c>
      <c r="X12" s="27"/>
      <c r="Y12" s="27" t="n">
        <f aca="true">IFERROR(INDEX(INDIRECT(D3&amp;"Table"),MATCH(D4,INDIRECT(D3&amp;"Table"&amp;"[Name]"),0),COLUMN(INDIRECT(D3&amp;"Table"&amp;"[CritDamage]"))),0)+IFERROR(INDEX(INDIRECT(E3&amp;"Table"),MATCH(E4,INDIRECT(E3&amp;"Table"&amp;"[Name]"),0),COLUMN(INDIRECT(E3&amp;"Table"&amp;"[CritDamage]"))),0)</f>
        <v>0</v>
      </c>
      <c r="Z12" s="27"/>
      <c r="AA12" s="11"/>
      <c r="AB12" s="104"/>
      <c r="AC12" s="11"/>
      <c r="AD12" s="27"/>
      <c r="AE12" s="45"/>
      <c r="AF12" s="45"/>
      <c r="AG12" s="45"/>
      <c r="AH12" s="45"/>
      <c r="AI12" s="45"/>
      <c r="AJ12" s="45"/>
      <c r="AK12" s="45"/>
      <c r="AL12" s="45"/>
    </row>
    <row r="13" customFormat="false" ht="14.4" hidden="false" customHeight="false" outlineLevel="0" collapsed="false">
      <c r="A13" s="1"/>
      <c r="B13" s="20" t="s">
        <v>155</v>
      </c>
      <c r="C13" s="72" t="n">
        <f aca="true">IFERROR(INDEX(INDIRECT(C3&amp;"Table"),MATCH(C2,INDIRECT(C3&amp;"Table"&amp;"[Name]"),0),COLUMN(INDIRECT(C3&amp;"Table"&amp;"["&amp;B13&amp;"]"))),0)</f>
        <v>1.15</v>
      </c>
      <c r="D13" s="72" t="n">
        <f aca="true">IFERROR(INDEX(INDIRECT(D3&amp;"Table"),MATCH(D4,INDIRECT(D3&amp;"Table"&amp;"[Name]"),0),COLUMN(INDIRECT(D3&amp;"Table"&amp;"["&amp;B13&amp;"]"))),0)</f>
        <v>0</v>
      </c>
      <c r="E13" s="72" t="n">
        <f aca="true">IFERROR(INDEX(INDIRECT(E3&amp;"Table"),MATCH(E4,INDIRECT(E3&amp;"Table"&amp;"[Name]"),0),COLUMN(INDIRECT(E3&amp;"Table"&amp;"["&amp;B13&amp;"]"))),0)</f>
        <v>0</v>
      </c>
      <c r="F13" s="72" t="n">
        <f aca="true">IFERROR(INDEX(INDIRECT(F3&amp;"Table"),MATCH(F4,INDIRECT(F3&amp;"Table"&amp;"[Name]"),0),COLUMN(INDIRECT(F3&amp;"Table"&amp;"["&amp;B13&amp;"]"))),0)</f>
        <v>0</v>
      </c>
      <c r="G13" s="72" t="n">
        <f aca="true">IFERROR(INDEX(INDIRECT(G3&amp;"Table"),MATCH(G4,INDIRECT(G3&amp;"Table"&amp;"[Name]"),0),COLUMN(INDIRECT(G3&amp;"Table"&amp;"["&amp;B13&amp;"]"))),0)</f>
        <v>0</v>
      </c>
      <c r="H13" s="72" t="n">
        <f aca="true">IFERROR(INDEX(INDIRECT(H3&amp;"Table"),MATCH(H4,INDIRECT(H3&amp;"Table"&amp;"[Name]"),0),COLUMN(INDIRECT(H3&amp;"Table"&amp;"["&amp;B13&amp;"]"))),0)</f>
        <v>0</v>
      </c>
      <c r="I13" s="87"/>
      <c r="J13" s="13" t="s">
        <v>61</v>
      </c>
      <c r="K13" s="13"/>
      <c r="L13" s="13"/>
      <c r="M13" s="13"/>
      <c r="N13" s="13"/>
      <c r="O13" s="13"/>
      <c r="P13" s="13"/>
      <c r="Q13" s="13"/>
      <c r="R13" s="13"/>
      <c r="S13" s="13"/>
      <c r="T13" s="13"/>
      <c r="U13" s="13"/>
      <c r="V13" s="58"/>
      <c r="W13" s="104" t="s">
        <v>172</v>
      </c>
      <c r="X13" s="27"/>
      <c r="Y13" s="44" t="n">
        <f aca="true">IFERROR(INDEX(INDIRECT(D3&amp;"Table"),MATCH(D4,INDIRECT(D3&amp;"Table"&amp;"[Name]"),0),COLUMN(INDIRECT(D3&amp;"Table"&amp;"[Crit%]"))),0)+IFERROR(INDEX(INDIRECT(E3&amp;"Table"),MATCH(E4,INDIRECT(E3&amp;"Table"&amp;"[Name]"),0),COLUMN(INDIRECT(E3&amp;"Table"&amp;"[Crit%]"))),0)</f>
        <v>0</v>
      </c>
      <c r="Z13" s="27"/>
      <c r="AA13" s="11"/>
      <c r="AB13" s="104"/>
      <c r="AC13" s="11"/>
      <c r="AD13" s="27"/>
      <c r="AE13" s="45"/>
      <c r="AF13" s="45"/>
      <c r="AG13" s="45"/>
      <c r="AH13" s="45"/>
      <c r="AI13" s="45"/>
      <c r="AJ13" s="45"/>
      <c r="AK13" s="45"/>
      <c r="AL13" s="45"/>
    </row>
    <row r="14" customFormat="false" ht="14.4" hidden="false" customHeight="false" outlineLevel="0" collapsed="false">
      <c r="A14" s="1"/>
      <c r="B14" s="20" t="s">
        <v>346</v>
      </c>
      <c r="C14" s="72" t="n">
        <f aca="true">IFERROR(INDEX(INDIRECT(C3&amp;"Table"),MATCH(C2,INDIRECT(C3&amp;"Table"&amp;"[Name]"),0),COLUMN(INDIRECT(C3&amp;"Table"&amp;"["&amp;B14&amp;"]"))),0)</f>
        <v>1.5</v>
      </c>
      <c r="D14" s="72" t="n">
        <v>0</v>
      </c>
      <c r="E14" s="72" t="n">
        <v>0</v>
      </c>
      <c r="F14" s="72" t="n">
        <v>0</v>
      </c>
      <c r="G14" s="72" t="n">
        <v>0</v>
      </c>
      <c r="H14" s="72" t="n">
        <v>0</v>
      </c>
      <c r="I14" s="12"/>
      <c r="J14" s="17" t="s">
        <v>158</v>
      </c>
      <c r="K14" s="14"/>
      <c r="L14" s="30" t="n">
        <v>0</v>
      </c>
      <c r="M14" s="64"/>
      <c r="N14" s="82" t="s">
        <v>160</v>
      </c>
      <c r="O14" s="137"/>
      <c r="P14" s="138" t="n">
        <v>1</v>
      </c>
      <c r="Q14" s="64"/>
      <c r="R14" s="82" t="s">
        <v>70</v>
      </c>
      <c r="S14" s="82"/>
      <c r="T14" s="30" t="n">
        <v>0</v>
      </c>
      <c r="U14" s="64"/>
      <c r="V14" s="58"/>
      <c r="W14" s="104"/>
      <c r="X14" s="27"/>
      <c r="Y14" s="27"/>
      <c r="Z14" s="27"/>
      <c r="AA14" s="11"/>
      <c r="AB14" s="104"/>
      <c r="AC14" s="11"/>
      <c r="AD14" s="27"/>
      <c r="AE14" s="45"/>
      <c r="AF14" s="45"/>
      <c r="AG14" s="45"/>
      <c r="AH14" s="45"/>
      <c r="AI14" s="45"/>
      <c r="AJ14" s="45"/>
      <c r="AK14" s="45"/>
      <c r="AL14" s="45"/>
    </row>
    <row r="15" customFormat="false" ht="14.4" hidden="false" customHeight="false" outlineLevel="0" collapsed="false">
      <c r="A15" s="1"/>
      <c r="B15" s="20" t="s">
        <v>46</v>
      </c>
      <c r="C15" s="72" t="n">
        <f aca="true">IFERROR(INDEX(INDIRECT(C3&amp;"Table"),MATCH(C2,INDIRECT(C3&amp;"Table"&amp;"[Name]"),0),COLUMN(INDIRECT(C3&amp;"Table"&amp;"["&amp;B15&amp;"]"))),0)</f>
        <v>36</v>
      </c>
      <c r="D15" s="72" t="n">
        <f aca="true">IFERROR(INDEX(INDIRECT(D3&amp;"Table"),MATCH(D4,INDIRECT(D3&amp;"Table"&amp;"[Name]"),0),COLUMN(INDIRECT(D3&amp;"Table"&amp;"["&amp;B15&amp;"]"))),0)</f>
        <v>0</v>
      </c>
      <c r="E15" s="72" t="n">
        <f aca="true">IFERROR(INDEX(INDIRECT(E3&amp;"Table"),MATCH(E4,INDIRECT(E3&amp;"Table"&amp;"[Name]"),0),COLUMN(INDIRECT(E3&amp;"Table"&amp;"["&amp;B15&amp;"]"))),0)</f>
        <v>0</v>
      </c>
      <c r="F15" s="72" t="n">
        <f aca="true">IFERROR(INDEX(INDIRECT(F3&amp;"Table"),MATCH(F4,INDIRECT(F3&amp;"Table"&amp;"[Name]"),0),COLUMN(INDIRECT(F3&amp;"Table"&amp;"["&amp;B15&amp;"]"))),0)</f>
        <v>0</v>
      </c>
      <c r="G15" s="72" t="n">
        <f aca="true">IFERROR(INDEX(INDIRECT(G3&amp;"Table"),MATCH(G4,INDIRECT(G3&amp;"Table"&amp;"[Name]"),0),COLUMN(INDIRECT(G3&amp;"Table"&amp;"["&amp;B15&amp;"]"))),0)</f>
        <v>0</v>
      </c>
      <c r="H15" s="72" t="n">
        <f aca="true">IFERROR(INDEX(INDIRECT(H3&amp;"Table"),MATCH(H4,INDIRECT(H3&amp;"Table"&amp;"[Name]"),0),COLUMN(INDIRECT(H3&amp;"Table"&amp;"["&amp;B15&amp;"]"))),0)</f>
        <v>0</v>
      </c>
      <c r="I15" s="12"/>
      <c r="J15" s="17" t="s">
        <v>164</v>
      </c>
      <c r="K15" s="14"/>
      <c r="L15" s="30" t="n">
        <v>0</v>
      </c>
      <c r="M15" s="64"/>
      <c r="N15" s="82" t="s">
        <v>166</v>
      </c>
      <c r="O15" s="1"/>
      <c r="P15" s="138" t="n">
        <v>1</v>
      </c>
      <c r="Q15" s="64"/>
      <c r="R15" s="82" t="s">
        <v>64</v>
      </c>
      <c r="S15" s="82"/>
      <c r="T15" s="30" t="n">
        <v>0</v>
      </c>
      <c r="U15" s="64"/>
      <c r="V15" s="58"/>
      <c r="W15" s="104" t="s">
        <v>218</v>
      </c>
      <c r="X15" s="27"/>
      <c r="Y15" s="27" t="n">
        <f aca="false">SUM(C6:H6)</f>
        <v>2657</v>
      </c>
      <c r="Z15" s="27"/>
      <c r="AA15" s="11"/>
      <c r="AB15" s="104"/>
      <c r="AC15" s="11"/>
      <c r="AD15" s="27"/>
      <c r="AE15" s="45"/>
      <c r="AF15" s="45"/>
      <c r="AG15" s="45"/>
      <c r="AH15" s="45"/>
      <c r="AI15" s="45"/>
      <c r="AJ15" s="45"/>
      <c r="AK15" s="45"/>
      <c r="AL15" s="45"/>
    </row>
    <row r="16" customFormat="false" ht="14.4" hidden="false" customHeight="false" outlineLevel="0" collapsed="false">
      <c r="A16" s="1"/>
      <c r="B16" s="20" t="s">
        <v>52</v>
      </c>
      <c r="C16" s="72" t="n">
        <f aca="true">IFERROR(INDEX(INDIRECT(C3&amp;"Table"),MATCH(C2,INDIRECT(C3&amp;"Table"&amp;"[Name]"),0),COLUMN(INDIRECT(C3&amp;"Table"&amp;"["&amp;B16&amp;"]"))),0)</f>
        <v>20</v>
      </c>
      <c r="D16" s="72" t="n">
        <f aca="true">IFERROR(INDEX(INDIRECT(D3&amp;"Table"),MATCH(D4,INDIRECT(D3&amp;"Table"&amp;"[Name]"),0),COLUMN(INDIRECT(D3&amp;"Table"&amp;"["&amp;B16&amp;"]"))),0)</f>
        <v>0</v>
      </c>
      <c r="E16" s="72" t="n">
        <f aca="true">IFERROR(INDEX(INDIRECT(E3&amp;"Table"),MATCH(E4,INDIRECT(E3&amp;"Table"&amp;"[Name]"),0),COLUMN(INDIRECT(E3&amp;"Table"&amp;"["&amp;B16&amp;"]"))),0)</f>
        <v>0</v>
      </c>
      <c r="F16" s="72" t="n">
        <f aca="true">IFERROR(INDEX(INDIRECT(F3&amp;"Table"),MATCH(F4,INDIRECT(F3&amp;"Table"&amp;"[Name]"),0),COLUMN(INDIRECT(F3&amp;"Table"&amp;"["&amp;B16&amp;"]"))),0)</f>
        <v>0</v>
      </c>
      <c r="G16" s="72" t="n">
        <f aca="true">IFERROR(INDEX(INDIRECT(G3&amp;"Table"),MATCH(G4,INDIRECT(G3&amp;"Table"&amp;"[Name]"),0),COLUMN(INDIRECT(G3&amp;"Table"&amp;"["&amp;B16&amp;"]"))),0)</f>
        <v>0</v>
      </c>
      <c r="H16" s="72" t="n">
        <f aca="true">IFERROR(INDEX(INDIRECT(H3&amp;"Table"),MATCH(H4,INDIRECT(H3&amp;"Table"&amp;"[Name]"),0),COLUMN(INDIRECT(H3&amp;"Table"&amp;"["&amp;B16&amp;"]"))),0)</f>
        <v>0</v>
      </c>
      <c r="I16" s="12"/>
      <c r="J16" s="17" t="s">
        <v>169</v>
      </c>
      <c r="K16" s="14"/>
      <c r="L16" s="30" t="n">
        <v>0.5</v>
      </c>
      <c r="M16" s="64"/>
      <c r="N16" s="82" t="s">
        <v>362</v>
      </c>
      <c r="O16" s="1"/>
      <c r="P16" s="138" t="n">
        <v>1</v>
      </c>
      <c r="Q16" s="64"/>
      <c r="R16" s="82" t="s">
        <v>185</v>
      </c>
      <c r="S16" s="82"/>
      <c r="T16" s="30" t="n">
        <v>0</v>
      </c>
      <c r="U16" s="64"/>
      <c r="V16" s="58"/>
      <c r="W16" s="104" t="s">
        <v>219</v>
      </c>
      <c r="X16" s="27"/>
      <c r="Y16" s="27" t="n">
        <f aca="false">Y15/(Y20*(1-T19))</f>
        <v>26570</v>
      </c>
      <c r="Z16" s="27"/>
      <c r="AA16" s="11"/>
      <c r="AB16" s="11"/>
      <c r="AC16" s="11"/>
      <c r="AD16" s="11"/>
      <c r="AE16" s="45"/>
      <c r="AF16" s="45"/>
      <c r="AG16" s="45"/>
      <c r="AH16" s="45"/>
      <c r="AI16" s="45"/>
      <c r="AJ16" s="45"/>
      <c r="AK16" s="45"/>
      <c r="AL16" s="45"/>
    </row>
    <row r="17" customFormat="false" ht="14.4" hidden="false" customHeight="false" outlineLevel="0" collapsed="false">
      <c r="A17" s="1"/>
      <c r="B17" s="20" t="s">
        <v>101</v>
      </c>
      <c r="C17" s="72" t="n">
        <f aca="true">IFERROR(INDEX(INDIRECT(C3&amp;"Table"),MATCH(C2,INDIRECT(C3&amp;"Table"&amp;"[Name]"),0),COLUMN(INDIRECT(C3&amp;"Table"&amp;"["&amp;B17&amp;"]"))),0)</f>
        <v>172</v>
      </c>
      <c r="D17" s="72" t="n">
        <f aca="true">IFERROR(INDEX(INDIRECT(D3&amp;"Table"),MATCH(D4,INDIRECT(D3&amp;"Table"&amp;"[Name]"),0),COLUMN(INDIRECT(D3&amp;"Table"&amp;"["&amp;B17&amp;"]"))),0)</f>
        <v>0</v>
      </c>
      <c r="E17" s="72" t="n">
        <f aca="true">IFERROR(INDEX(INDIRECT(E3&amp;"Table"),MATCH(E4,INDIRECT(E3&amp;"Table"&amp;"[Name]"),0),COLUMN(INDIRECT(E3&amp;"Table"&amp;"["&amp;B17&amp;"]"))),0)</f>
        <v>0</v>
      </c>
      <c r="F17" s="72" t="n">
        <f aca="true">IFERROR(INDEX(INDIRECT(F3&amp;"Table"),MATCH(F4,INDIRECT(F3&amp;"Table"&amp;"[Name]"),0),COLUMN(INDIRECT(F3&amp;"Table"&amp;"["&amp;B17&amp;"]"))),0)</f>
        <v>0</v>
      </c>
      <c r="G17" s="72" t="n">
        <f aca="true">IFERROR(INDEX(INDIRECT(G3&amp;"Table"),MATCH(G4,INDIRECT(G3&amp;"Table"&amp;"[Name]"),0),COLUMN(INDIRECT(G3&amp;"Table"&amp;"["&amp;B17&amp;"]"))),0)</f>
        <v>0</v>
      </c>
      <c r="H17" s="72" t="n">
        <f aca="true">IFERROR(INDEX(INDIRECT(H3&amp;"Table"),MATCH(H4,INDIRECT(H3&amp;"Table"&amp;"[Name]"),0),COLUMN(INDIRECT(H3&amp;"Table"&amp;"["&amp;B17&amp;"]"))),0)</f>
        <v>0</v>
      </c>
      <c r="I17" s="12"/>
      <c r="J17" s="17" t="s">
        <v>347</v>
      </c>
      <c r="K17" s="14"/>
      <c r="L17" s="30" t="n">
        <v>0</v>
      </c>
      <c r="M17" s="64"/>
      <c r="N17" s="82" t="s">
        <v>170</v>
      </c>
      <c r="O17" s="139"/>
      <c r="P17" s="138" t="n">
        <v>1</v>
      </c>
      <c r="Q17" s="64"/>
      <c r="R17" s="82" t="s">
        <v>316</v>
      </c>
      <c r="S17" s="82"/>
      <c r="T17" s="30" t="n">
        <v>0</v>
      </c>
      <c r="U17" s="64"/>
      <c r="V17" s="58"/>
      <c r="W17" s="104" t="s">
        <v>220</v>
      </c>
      <c r="X17" s="27"/>
      <c r="Y17" s="44" t="n">
        <f aca="false">0.1+(SUM(C17:H17)/(SUM(C17:H17)+2+T16))+((SUM(C16:H16)-T14)/1000)</f>
        <v>1.10850574712644</v>
      </c>
      <c r="Z17" s="27"/>
      <c r="AA17" s="11"/>
      <c r="AB17" s="11"/>
      <c r="AC17" s="11"/>
      <c r="AD17" s="11"/>
      <c r="AE17" s="45"/>
      <c r="AF17" s="45"/>
      <c r="AG17" s="45"/>
      <c r="AH17" s="45"/>
      <c r="AI17" s="45"/>
      <c r="AJ17" s="45"/>
      <c r="AK17" s="45"/>
      <c r="AL17" s="45"/>
    </row>
    <row r="18" customFormat="false" ht="14.4" hidden="false" customHeight="false" outlineLevel="0" collapsed="false">
      <c r="A18" s="1"/>
      <c r="B18" s="20" t="s">
        <v>173</v>
      </c>
      <c r="C18" s="72" t="n">
        <v>0</v>
      </c>
      <c r="D18" s="72" t="n">
        <f aca="true">IFERROR(INDEX(INDIRECT(D3&amp;"Table"),MATCH(D4,INDIRECT(D3&amp;"Table"&amp;"[Name]"),0),COLUMN(INDIRECT(D3&amp;"Table"&amp;"["&amp;B18&amp;"]"))),0)</f>
        <v>0</v>
      </c>
      <c r="E18" s="72" t="n">
        <f aca="true">IFERROR(INDEX(INDIRECT(E3&amp;"Table"),MATCH(E4,INDIRECT(E3&amp;"Table"&amp;"[Name]"),0),COLUMN(INDIRECT(E3&amp;"Table"&amp;"["&amp;B18&amp;"]"))),0)</f>
        <v>0</v>
      </c>
      <c r="F18" s="72" t="n">
        <f aca="true">IFERROR(INDEX(INDIRECT(F3&amp;"Table"),MATCH(F4,INDIRECT(F3&amp;"Table"&amp;"[Name]"),0),COLUMN(INDIRECT(F3&amp;"Table"&amp;"["&amp;B18&amp;"]"))),0)</f>
        <v>181</v>
      </c>
      <c r="G18" s="72" t="n">
        <f aca="true">IFERROR(INDEX(INDIRECT(G3&amp;"Table"),MATCH(G4,INDIRECT(G3&amp;"Table"&amp;"[Name]"),0),COLUMN(INDIRECT(G3&amp;"Table"&amp;"["&amp;B18&amp;"]"))),0)</f>
        <v>181</v>
      </c>
      <c r="H18" s="72" t="n">
        <f aca="true">IFERROR(INDEX(INDIRECT(H3&amp;"Table"),MATCH(H4,INDIRECT(H3&amp;"Table"&amp;"[Name]"),0),COLUMN(INDIRECT(H3&amp;"Table"&amp;"["&amp;B18&amp;"]"))),0)</f>
        <v>0</v>
      </c>
      <c r="I18" s="12"/>
      <c r="J18" s="17" t="s">
        <v>348</v>
      </c>
      <c r="K18" s="14"/>
      <c r="L18" s="30" t="n">
        <v>0</v>
      </c>
      <c r="M18" s="64"/>
      <c r="N18" s="82" t="s">
        <v>175</v>
      </c>
      <c r="O18" s="139"/>
      <c r="P18" s="138" t="n">
        <v>1</v>
      </c>
      <c r="Q18" s="64"/>
      <c r="R18" s="82" t="s">
        <v>317</v>
      </c>
      <c r="S18" s="82"/>
      <c r="T18" s="138" t="n">
        <v>1</v>
      </c>
      <c r="U18" s="64"/>
      <c r="V18" s="58"/>
      <c r="W18" s="104" t="s">
        <v>221</v>
      </c>
      <c r="X18" s="27"/>
      <c r="Y18" s="44" t="n">
        <f aca="false">IF(Y17&lt;=0.1, 0.1, IF(Y17&gt;=1, 1, Y17))</f>
        <v>1</v>
      </c>
      <c r="Z18" s="27"/>
      <c r="AA18" s="11"/>
      <c r="AB18" s="11"/>
      <c r="AC18" s="11"/>
      <c r="AD18" s="11"/>
      <c r="AE18" s="45"/>
      <c r="AF18" s="45"/>
      <c r="AG18" s="45"/>
      <c r="AH18" s="45"/>
      <c r="AI18" s="45"/>
      <c r="AJ18" s="45"/>
      <c r="AK18" s="45"/>
      <c r="AL18" s="45"/>
    </row>
    <row r="19" customFormat="false" ht="14.4" hidden="false" customHeight="false" outlineLevel="0" collapsed="false">
      <c r="A19" s="1"/>
      <c r="B19" s="20" t="s">
        <v>179</v>
      </c>
      <c r="C19" s="72" t="n">
        <v>0</v>
      </c>
      <c r="D19" s="134" t="n">
        <f aca="true">IFERROR(INDEX(INDIRECT(D3&amp;"Table"),MATCH(D4,INDIRECT(D3&amp;"Table"&amp;"[Name]"),0),COLUMN(INDIRECT(D3&amp;"Table"&amp;"["&amp;B19&amp;"]"))),0)</f>
        <v>0</v>
      </c>
      <c r="E19" s="134" t="n">
        <f aca="true">IFERROR(INDEX(INDIRECT(E3&amp;"Table"),MATCH(E4,INDIRECT(E3&amp;"Table"&amp;"[Name]"),0),COLUMN(INDIRECT(E3&amp;"Table"&amp;"["&amp;B19&amp;"]"))),0)</f>
        <v>0</v>
      </c>
      <c r="F19" s="75" t="n">
        <f aca="true">IFERROR(INDEX(INDIRECT(F3&amp;"Table"),MATCH(F4,INDIRECT(F3&amp;"Table"&amp;"[Name]"),0),COLUMN(INDIRECT(F3&amp;"Table"&amp;"["&amp;B19&amp;"]"))),0)</f>
        <v>3</v>
      </c>
      <c r="G19" s="72" t="n">
        <f aca="true">IFERROR(INDEX(INDIRECT(G3&amp;"Table"),MATCH(G4,INDIRECT(G3&amp;"Table"&amp;"[Name]"),0),COLUMN(INDIRECT(G3&amp;"Table"&amp;"["&amp;B19&amp;"]"))),0)</f>
        <v>3</v>
      </c>
      <c r="H19" s="72" t="n">
        <f aca="true">IFERROR(INDEX(INDIRECT(H3&amp;"Table"),MATCH(H4,INDIRECT(H3&amp;"Table"&amp;"[Name]"),0),COLUMN(INDIRECT(H3&amp;"Table"&amp;"["&amp;B19&amp;"]"))),0)</f>
        <v>0</v>
      </c>
      <c r="I19" s="12"/>
      <c r="J19" s="30"/>
      <c r="K19" s="30"/>
      <c r="L19" s="30"/>
      <c r="M19" s="64"/>
      <c r="N19" s="82" t="s">
        <v>349</v>
      </c>
      <c r="O19" s="137"/>
      <c r="P19" s="138" t="n">
        <v>1</v>
      </c>
      <c r="Q19" s="64"/>
      <c r="R19" s="82" t="s">
        <v>201</v>
      </c>
      <c r="S19" s="82"/>
      <c r="T19" s="30" t="n">
        <v>0</v>
      </c>
      <c r="U19" s="64"/>
      <c r="V19" s="58"/>
      <c r="W19" s="104" t="s">
        <v>222</v>
      </c>
      <c r="X19" s="27"/>
      <c r="Y19" s="44" t="n">
        <f aca="false">0.1+(T15/(T15+2+T18*SUM(C15:H15)))+((T14-SUM(C16:H16))/1000)-T17</f>
        <v>0.08</v>
      </c>
      <c r="Z19" s="27"/>
      <c r="AA19" s="11"/>
      <c r="AB19" s="11"/>
      <c r="AC19" s="11"/>
      <c r="AD19" s="11"/>
      <c r="AE19" s="45"/>
      <c r="AF19" s="45"/>
      <c r="AG19" s="45"/>
      <c r="AH19" s="45"/>
      <c r="AI19" s="45"/>
      <c r="AJ19" s="45"/>
      <c r="AK19" s="45"/>
      <c r="AL19" s="45"/>
    </row>
    <row r="20" customFormat="false" ht="14.4" hidden="false" customHeight="false" outlineLevel="0" collapsed="false">
      <c r="A20" s="1"/>
      <c r="B20" s="20" t="s">
        <v>184</v>
      </c>
      <c r="C20" s="72" t="n">
        <v>0</v>
      </c>
      <c r="D20" s="134" t="n">
        <f aca="true">IFERROR(INDEX(INDIRECT(D3&amp;"Table"),MATCH(D4,INDIRECT(D3&amp;"Table"&amp;"[Name]"),0),COLUMN(INDIRECT(D3&amp;"Table"&amp;"["&amp;B20&amp;"]"))),0)</f>
        <v>0</v>
      </c>
      <c r="E20" s="134" t="n">
        <f aca="true">IFERROR(INDEX(INDIRECT(E3&amp;"Table"),MATCH(E4,INDIRECT(E3&amp;"Table"&amp;"[Name]"),0),COLUMN(INDIRECT(E3&amp;"Table"&amp;"["&amp;B20&amp;"]"))),0)</f>
        <v>0</v>
      </c>
      <c r="F20" s="75" t="n">
        <f aca="true">IFERROR(INDEX(INDIRECT(F3&amp;"Table"),MATCH(F4,INDIRECT(F3&amp;"Table"&amp;"[Name]"),0),COLUMN(INDIRECT(F3&amp;"Table"&amp;"["&amp;B20&amp;"]"))),0)</f>
        <v>24.61</v>
      </c>
      <c r="G20" s="72" t="n">
        <f aca="true">IFERROR(INDEX(INDIRECT(G3&amp;"Table"),MATCH(G4,INDIRECT(G3&amp;"Table"&amp;"[Name]"),0),COLUMN(INDIRECT(G3&amp;"Table"&amp;"["&amp;B20&amp;"]"))),0)</f>
        <v>24.61</v>
      </c>
      <c r="H20" s="72" t="n">
        <f aca="true">IFERROR(INDEX(INDIRECT(H3&amp;"Table"),MATCH(H4,INDIRECT(H3&amp;"Table"&amp;"[Name]"),0),COLUMN(INDIRECT(H3&amp;"Table"&amp;"["&amp;B20&amp;"]"))),0)</f>
        <v>14.3</v>
      </c>
      <c r="I20" s="12"/>
      <c r="J20" s="17" t="s">
        <v>351</v>
      </c>
      <c r="K20" s="14"/>
      <c r="L20" s="30" t="n">
        <v>2</v>
      </c>
      <c r="M20" s="64"/>
      <c r="N20" s="82" t="s">
        <v>277</v>
      </c>
      <c r="O20" s="137"/>
      <c r="P20" s="30" t="n">
        <v>0</v>
      </c>
      <c r="Q20" s="64"/>
      <c r="R20" s="64"/>
      <c r="S20" s="64"/>
      <c r="T20" s="30"/>
      <c r="U20" s="64"/>
      <c r="V20" s="58"/>
      <c r="W20" s="104" t="s">
        <v>223</v>
      </c>
      <c r="X20" s="27"/>
      <c r="Y20" s="44" t="n">
        <f aca="false">IF(Y19&lt;=0.1, 0.1, IF(Y19&gt;=0.9, 0.9, Y19))</f>
        <v>0.1</v>
      </c>
      <c r="Z20" s="27"/>
      <c r="AA20" s="11"/>
      <c r="AB20" s="11"/>
      <c r="AC20" s="11"/>
      <c r="AD20" s="11"/>
      <c r="AE20" s="45"/>
      <c r="AF20" s="45"/>
      <c r="AG20" s="45"/>
      <c r="AH20" s="45"/>
      <c r="AI20" s="45"/>
      <c r="AJ20" s="45"/>
      <c r="AK20" s="45"/>
      <c r="AL20" s="45"/>
    </row>
    <row r="21" customFormat="false" ht="14.4" hidden="false" customHeight="false" outlineLevel="0" collapsed="false">
      <c r="A21" s="1"/>
      <c r="B21" s="20" t="s">
        <v>189</v>
      </c>
      <c r="C21" s="72" t="n">
        <f aca="false">SUM(C7:H7)</f>
        <v>59</v>
      </c>
      <c r="D21" s="61" t="s">
        <v>193</v>
      </c>
      <c r="E21" s="134" t="n">
        <f aca="false">SUM(C8:H8)</f>
        <v>804</v>
      </c>
      <c r="F21" s="61" t="s">
        <v>350</v>
      </c>
      <c r="G21" s="134" t="n">
        <f aca="false">SUM(C5:H5)</f>
        <v>238</v>
      </c>
      <c r="H21" s="134"/>
      <c r="I21" s="1"/>
      <c r="J21" s="17" t="s">
        <v>195</v>
      </c>
      <c r="K21" s="14"/>
      <c r="L21" s="30" t="n">
        <v>1</v>
      </c>
      <c r="M21" s="64"/>
      <c r="N21" s="82" t="s">
        <v>280</v>
      </c>
      <c r="O21" s="1"/>
      <c r="P21" s="138" t="n">
        <v>0</v>
      </c>
      <c r="Q21" s="64"/>
      <c r="R21" s="82" t="s">
        <v>282</v>
      </c>
      <c r="S21" s="82"/>
      <c r="T21" s="104" t="s">
        <v>217</v>
      </c>
      <c r="U21" s="64"/>
      <c r="V21" s="58"/>
      <c r="W21" s="58"/>
      <c r="X21" s="58"/>
      <c r="Y21" s="58"/>
      <c r="Z21" s="58"/>
      <c r="AA21" s="58"/>
      <c r="AB21" s="58"/>
      <c r="AC21" s="58"/>
      <c r="AD21" s="45"/>
      <c r="AE21" s="45"/>
      <c r="AF21" s="45"/>
      <c r="AG21" s="45"/>
      <c r="AH21" s="45"/>
      <c r="AI21" s="45"/>
      <c r="AJ21" s="45"/>
      <c r="AK21" s="45"/>
      <c r="AL21" s="45"/>
    </row>
    <row r="22" customFormat="false" ht="14.4" hidden="false" customHeight="false" outlineLevel="0" collapsed="false">
      <c r="A22" s="1"/>
      <c r="B22" s="1"/>
      <c r="C22" s="1"/>
      <c r="D22" s="1"/>
      <c r="E22" s="1"/>
      <c r="F22" s="1"/>
      <c r="G22" s="1"/>
      <c r="H22" s="1"/>
      <c r="I22" s="1"/>
      <c r="J22" s="17" t="s">
        <v>202</v>
      </c>
      <c r="K22" s="14"/>
      <c r="L22" s="30" t="n">
        <f aca="false">SQRT(200/(100+SUM(C11:H11)*(L21)))</f>
        <v>0.934538627031995</v>
      </c>
      <c r="M22" s="64"/>
      <c r="N22" s="64"/>
      <c r="O22" s="64"/>
      <c r="P22" s="64"/>
      <c r="Q22" s="64"/>
      <c r="R22" s="82" t="s">
        <v>283</v>
      </c>
      <c r="S22" s="82"/>
      <c r="T22" s="64"/>
      <c r="U22" s="64"/>
      <c r="V22" s="58"/>
      <c r="W22" s="58"/>
      <c r="X22" s="58"/>
      <c r="Y22" s="58"/>
      <c r="Z22" s="58"/>
      <c r="AA22" s="58"/>
      <c r="AB22" s="58"/>
      <c r="AC22" s="58"/>
      <c r="AD22" s="45"/>
      <c r="AE22" s="45"/>
      <c r="AF22" s="45"/>
      <c r="AG22" s="45"/>
      <c r="AH22" s="45"/>
      <c r="AI22" s="45"/>
      <c r="AJ22" s="45"/>
      <c r="AK22" s="45"/>
      <c r="AL22" s="45"/>
    </row>
    <row r="23" customFormat="false" ht="14.4" hidden="false" customHeight="false" outlineLevel="0" collapsed="false">
      <c r="A23" s="1"/>
      <c r="B23" s="1"/>
      <c r="C23" s="1"/>
      <c r="D23" s="1"/>
      <c r="E23" s="1"/>
      <c r="F23" s="1"/>
      <c r="G23" s="1"/>
      <c r="H23" s="1"/>
      <c r="I23" s="1"/>
      <c r="J23" s="14"/>
      <c r="K23" s="14"/>
      <c r="L23" s="30"/>
      <c r="M23" s="64"/>
      <c r="N23" s="64"/>
      <c r="O23" s="64"/>
      <c r="P23" s="64"/>
      <c r="Q23" s="64"/>
      <c r="R23" s="64"/>
      <c r="S23" s="64"/>
      <c r="T23" s="64"/>
      <c r="U23" s="64"/>
      <c r="V23" s="58"/>
      <c r="W23" s="58"/>
      <c r="X23" s="58"/>
      <c r="Y23" s="58"/>
      <c r="Z23" s="58"/>
      <c r="AA23" s="58"/>
      <c r="AB23" s="58"/>
      <c r="AC23" s="58"/>
      <c r="AD23" s="45"/>
      <c r="AE23" s="45"/>
      <c r="AF23" s="45"/>
      <c r="AG23" s="45"/>
      <c r="AH23" s="45"/>
      <c r="AI23" s="45"/>
      <c r="AJ23" s="45"/>
      <c r="AK23" s="45"/>
      <c r="AL23" s="45"/>
    </row>
    <row r="24" customFormat="false" ht="14.4"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customFormat="false" ht="14.4" hidden="false" customHeight="false" outlineLevel="0" collapsed="false">
      <c r="A25" s="1"/>
      <c r="B25" s="57" t="s">
        <v>206</v>
      </c>
      <c r="C25" s="57"/>
      <c r="D25" s="57" t="s">
        <v>207</v>
      </c>
      <c r="E25" s="57" t="s">
        <v>208</v>
      </c>
      <c r="F25" s="57" t="s">
        <v>209</v>
      </c>
      <c r="G25" s="57" t="s">
        <v>138</v>
      </c>
      <c r="H25" s="57" t="s">
        <v>140</v>
      </c>
      <c r="I25" s="57" t="s">
        <v>142</v>
      </c>
      <c r="J25" s="129" t="s">
        <v>78</v>
      </c>
      <c r="K25" s="129" t="s">
        <v>280</v>
      </c>
      <c r="L25" s="99" t="s">
        <v>214</v>
      </c>
      <c r="M25" s="100" t="s">
        <v>215</v>
      </c>
      <c r="N25" s="57" t="s">
        <v>210</v>
      </c>
      <c r="O25" s="57" t="s">
        <v>211</v>
      </c>
      <c r="P25" s="129" t="s">
        <v>212</v>
      </c>
      <c r="Q25" s="99" t="s">
        <v>175</v>
      </c>
      <c r="R25" s="1"/>
      <c r="S25" s="63"/>
      <c r="T25" s="63" t="s">
        <v>244</v>
      </c>
      <c r="U25" s="63"/>
      <c r="V25" s="63" t="s">
        <v>245</v>
      </c>
      <c r="W25" s="63"/>
      <c r="X25" s="63" t="s">
        <v>246</v>
      </c>
      <c r="Y25" s="11"/>
      <c r="Z25" s="63" t="s">
        <v>352</v>
      </c>
      <c r="AA25" s="27"/>
      <c r="AB25" s="27"/>
      <c r="AC25" s="27"/>
      <c r="AD25" s="27"/>
      <c r="AE25" s="27"/>
      <c r="AF25" s="1"/>
      <c r="AG25" s="1"/>
      <c r="AH25" s="1"/>
      <c r="AI25" s="1"/>
      <c r="AJ25" s="1"/>
      <c r="AK25" s="1"/>
      <c r="AL25" s="1"/>
    </row>
    <row r="26" customFormat="false" ht="14.4" hidden="false" customHeight="false" outlineLevel="0" collapsed="false">
      <c r="A26" s="1"/>
      <c r="B26" s="72" t="str">
        <f aca="true">IFERROR(INDEX(INDIRECT(C3&amp;"Table"),MATCH(C2,INDIRECT(C3&amp;"Table"&amp;"[Name]"),0),COLUMN(INDIRECT(C3&amp;"Table"&amp;"[Barg1]"))),0)</f>
        <v>I-13-Exclussive Barrage</v>
      </c>
      <c r="C26" s="72"/>
      <c r="D26" s="72" t="n">
        <f aca="false">IFERROR(INDEX(Barrage[],MATCH(B26,Barrage[Name],0),COLUMN(Barrage[Total Damage])),0)</f>
        <v>495</v>
      </c>
      <c r="E26" s="72" t="n">
        <f aca="false">IFERROR(INDEX(Barrage[],MATCH(B26,Barrage[Name],0),COLUMN(Barrage[Base Damage])),0)</f>
        <v>55</v>
      </c>
      <c r="F26" s="72" t="n">
        <f aca="false">IFERROR(INDEX(Barrage[],MATCH(B26,Barrage[Name],0),COLUMN(Barrage[Total Rounds])),0)</f>
        <v>9</v>
      </c>
      <c r="G26" s="72" t="n">
        <f aca="false">IFERROR(INDEX(Barrage[],MATCH(B26,Barrage[Name],0),COLUMN(Barrage[Light Armor])),0)</f>
        <v>0.8</v>
      </c>
      <c r="H26" s="72" t="n">
        <f aca="false">IFERROR(INDEX(Barrage[],MATCH(B26,Barrage[Name],0),COLUMN(Barrage[Medium Armor])),0)</f>
        <v>1</v>
      </c>
      <c r="I26" s="72" t="n">
        <f aca="false">IFERROR(INDEX(Barrage[],MATCH(B26,Barrage[Name],0),COLUMN(Barrage[Heavy Armor])),0)</f>
        <v>1.3</v>
      </c>
      <c r="J26" s="90" t="n">
        <f aca="false">IFERROR(INDEX(Barrage[],MATCH(B26,Barrage[Name],0),COLUMN(Barrage[Burn %])),0)</f>
        <v>0</v>
      </c>
      <c r="K26" s="90" t="n">
        <f aca="false">IFERROR(INDEX(Barrage[],MATCH(B26,Barrage[Name],0),COLUMN(Barrage[Flood %])),0)</f>
        <v>0</v>
      </c>
      <c r="L26" s="103" t="n">
        <v>1</v>
      </c>
      <c r="M26" s="103" t="n">
        <v>0</v>
      </c>
      <c r="N26" s="72" t="str">
        <f aca="false">IFERROR(INDEX(Barrage[],MATCH(B26,Barrage[Name],0),COLUMN(Barrage[Type2])),0)</f>
        <v>TP</v>
      </c>
      <c r="O26" s="72" t="n">
        <f aca="false">IFERROR(INDEX(Barrage[],MATCH(B26,Barrage[Name],0),COLUMN(Barrage[Stat Mod])),0)</f>
        <v>1</v>
      </c>
      <c r="P26" s="90" t="n">
        <f aca="false">IFERROR(INDEX(Barrage[],MATCH(B26,Barrage[Name],0),COLUMN(Barrage[Crit %])),0)</f>
        <v>0</v>
      </c>
      <c r="Q26" s="103" t="n">
        <v>1</v>
      </c>
      <c r="R26" s="1"/>
      <c r="S26" s="63" t="s">
        <v>138</v>
      </c>
      <c r="T26" s="27" t="n">
        <f aca="false">((100+E21*P15)/100)*X8*F18*Y11*X5*C12*P19</f>
        <v>18848.215584</v>
      </c>
      <c r="U26" s="27"/>
      <c r="V26" s="27" t="n">
        <f aca="false">((100+E21*P15)/100)*Y8*G18*Y11*Y5*C13*P19</f>
        <v>11239.1211445333</v>
      </c>
      <c r="W26" s="27"/>
      <c r="X26" s="27" t="n">
        <f aca="false">((100+IF(Z4="B",0.8,IF(Z4="F",0.8,1))*SUM(C10:H10))/100)*Z5*Z8*C14*Y10*P16*2</f>
        <v>6621.94128649724</v>
      </c>
      <c r="Y26" s="11"/>
      <c r="Z26" s="27" t="n">
        <f aca="false">T26+V26+X26</f>
        <v>36709.2780150306</v>
      </c>
      <c r="AA26" s="27"/>
      <c r="AB26" s="27"/>
      <c r="AC26" s="27"/>
      <c r="AD26" s="27"/>
      <c r="AE26" s="27"/>
      <c r="AF26" s="1"/>
      <c r="AG26" s="1"/>
      <c r="AH26" s="1"/>
      <c r="AI26" s="1"/>
      <c r="AJ26" s="1"/>
      <c r="AK26" s="1"/>
      <c r="AL26" s="1"/>
    </row>
    <row r="27" customFormat="false" ht="14.4" hidden="false" customHeight="false" outlineLevel="0" collapsed="false">
      <c r="A27" s="1"/>
      <c r="B27" s="72" t="str">
        <f aca="true">IFERROR(INDEX(INDIRECT(C3&amp;"Table"),MATCH(C2,INDIRECT(C3&amp;"Table"&amp;"[Name]"),0),COLUMN(INDIRECT(C3&amp;"Table"&amp;"[Barg2]"))),0)</f>
        <v>N/A</v>
      </c>
      <c r="C27" s="72"/>
      <c r="D27" s="72" t="n">
        <f aca="false">IFERROR(INDEX(Barrage[],MATCH(B27,Barrage[Name],0),COLUMN(Barrage[Total Damage])),0)</f>
        <v>0</v>
      </c>
      <c r="E27" s="72" t="n">
        <f aca="false">IFERROR(INDEX(Barrage[],MATCH(B27,Barrage[Name],0),COLUMN(Barrage[Base Damage])),0)</f>
        <v>0</v>
      </c>
      <c r="F27" s="72" t="n">
        <f aca="false">IFERROR(INDEX(Barrage[],MATCH(B27,Barrage[Name],0),COLUMN(Barrage[Total Rounds])),0)</f>
        <v>0</v>
      </c>
      <c r="G27" s="72" t="n">
        <f aca="false">IFERROR(INDEX(Barrage[],MATCH(B27,Barrage[Name],0),COLUMN(Barrage[Light Armor])),0)</f>
        <v>0</v>
      </c>
      <c r="H27" s="72" t="n">
        <f aca="false">IFERROR(INDEX(Barrage[],MATCH(B27,Barrage[Name],0),COLUMN(Barrage[Medium Armor])),0)</f>
        <v>0</v>
      </c>
      <c r="I27" s="72" t="n">
        <f aca="false">IFERROR(INDEX(Barrage[],MATCH(B27,Barrage[Name],0),COLUMN(Barrage[Heavy Armor])),0)</f>
        <v>0</v>
      </c>
      <c r="J27" s="90" t="n">
        <f aca="false">IFERROR(INDEX(Barrage[],MATCH(B27,Barrage[Name],0),COLUMN(Barrage[Burn %])),0)</f>
        <v>0</v>
      </c>
      <c r="K27" s="90" t="n">
        <f aca="false">IFERROR(INDEX(Barrage[],MATCH(B27,Barrage[Name],0),COLUMN(Barrage[Flood %])),0)</f>
        <v>0</v>
      </c>
      <c r="L27" s="103" t="n">
        <v>1</v>
      </c>
      <c r="M27" s="103" t="n">
        <v>0</v>
      </c>
      <c r="N27" s="72" t="n">
        <f aca="false">IFERROR(INDEX(Barrage[],MATCH(B27,Barrage[Name],0),COLUMN(Barrage[Type2])),0)</f>
        <v>0</v>
      </c>
      <c r="O27" s="72" t="n">
        <f aca="false">IFERROR(INDEX(Barrage[],MATCH(B27,Barrage[Name],0),COLUMN(Barrage[Stat Mod])),0)</f>
        <v>0</v>
      </c>
      <c r="P27" s="90" t="n">
        <f aca="false">IFERROR(INDEX(Barrage[],MATCH(B27,Barrage[Name],0),COLUMN(Barrage[Crit %])),0)</f>
        <v>0</v>
      </c>
      <c r="Q27" s="103" t="n">
        <v>1</v>
      </c>
      <c r="R27" s="1"/>
      <c r="S27" s="63" t="s">
        <v>140</v>
      </c>
      <c r="T27" s="27" t="n">
        <f aca="false">((100+E21*P15)/100)*X8*F18*Y11*X6*C12*P19</f>
        <v>23560.26948</v>
      </c>
      <c r="U27" s="27"/>
      <c r="V27" s="27" t="n">
        <f aca="false">((100+E21*P15)/100)*Y8*G18*Y11*Y6*C13*P19</f>
        <v>14048.9014306667</v>
      </c>
      <c r="W27" s="27"/>
      <c r="X27" s="27" t="n">
        <f aca="false">((100+IF(Z4="B",0.8,IF(Z4="F",0.8,1))*SUM(C10:H10))/100)*Z6*Z8*C14*Y10*P16*2</f>
        <v>8829.25504866298</v>
      </c>
      <c r="Y27" s="11"/>
      <c r="Z27" s="27" t="n">
        <f aca="false">T27+V27+X27</f>
        <v>46438.4259593296</v>
      </c>
      <c r="AA27" s="27"/>
      <c r="AB27" s="27"/>
      <c r="AC27" s="27"/>
      <c r="AD27" s="27"/>
      <c r="AE27" s="27"/>
      <c r="AF27" s="1"/>
      <c r="AG27" s="1"/>
      <c r="AH27" s="1"/>
      <c r="AI27" s="1"/>
      <c r="AJ27" s="1"/>
      <c r="AK27" s="1"/>
      <c r="AL27" s="1"/>
    </row>
    <row r="28" customFormat="false" ht="14.4" hidden="false" customHeight="false" outlineLevel="0" collapsed="false">
      <c r="A28" s="1"/>
      <c r="B28" s="72" t="str">
        <f aca="true">IFERROR(INDEX(INDIRECT(C3&amp;"Table"),MATCH(C2,INDIRECT(C3&amp;"Table"&amp;"[Name]"),0),COLUMN(INDIRECT(C3&amp;"Table"&amp;"[Barg3]"))),0)</f>
        <v>N/A</v>
      </c>
      <c r="C28" s="72"/>
      <c r="D28" s="72" t="n">
        <f aca="false">IFERROR(INDEX(Barrage[],MATCH(B28,Barrage[Name],0),COLUMN(Barrage[Total Damage])),0)</f>
        <v>0</v>
      </c>
      <c r="E28" s="72" t="n">
        <f aca="false">IFERROR(INDEX(Barrage[],MATCH(B28,Barrage[Name],0),COLUMN(Barrage[Base Damage])),0)</f>
        <v>0</v>
      </c>
      <c r="F28" s="72" t="n">
        <f aca="false">IFERROR(INDEX(Barrage[],MATCH(B28,Barrage[Name],0),COLUMN(Barrage[Total Rounds])),0)</f>
        <v>0</v>
      </c>
      <c r="G28" s="72" t="n">
        <f aca="false">IFERROR(INDEX(Barrage[],MATCH(B28,Barrage[Name],0),COLUMN(Barrage[Light Armor])),0)</f>
        <v>0</v>
      </c>
      <c r="H28" s="72" t="n">
        <f aca="false">IFERROR(INDEX(Barrage[],MATCH(B28,Barrage[Name],0),COLUMN(Barrage[Medium Armor])),0)</f>
        <v>0</v>
      </c>
      <c r="I28" s="72" t="n">
        <f aca="false">IFERROR(INDEX(Barrage[],MATCH(B28,Barrage[Name],0),COLUMN(Barrage[Heavy Armor])),0)</f>
        <v>0</v>
      </c>
      <c r="J28" s="90" t="n">
        <f aca="false">IFERROR(INDEX(Barrage[],MATCH(B28,Barrage[Name],0),COLUMN(Barrage[Burn %])),0)</f>
        <v>0</v>
      </c>
      <c r="K28" s="90" t="n">
        <f aca="false">IFERROR(INDEX(Barrage[],MATCH(B28,Barrage[Name],0),COLUMN(Barrage[Flood %])),0)</f>
        <v>0</v>
      </c>
      <c r="L28" s="103" t="n">
        <v>1</v>
      </c>
      <c r="M28" s="103" t="n">
        <v>0</v>
      </c>
      <c r="N28" s="72" t="n">
        <f aca="false">IFERROR(INDEX(Barrage[],MATCH(B28,Barrage[Name],0),COLUMN(Barrage[Type2])),0)</f>
        <v>0</v>
      </c>
      <c r="O28" s="72" t="n">
        <f aca="false">IFERROR(INDEX(Barrage[],MATCH(B28,Barrage[Name],0),COLUMN(Barrage[Stat Mod])),0)</f>
        <v>0</v>
      </c>
      <c r="P28" s="90" t="n">
        <f aca="false">IFERROR(INDEX(Barrage[],MATCH(B28,Barrage[Name],0),COLUMN(Barrage[Crit %])),0)</f>
        <v>0</v>
      </c>
      <c r="Q28" s="103" t="n">
        <v>1</v>
      </c>
      <c r="R28" s="1"/>
      <c r="S28" s="63" t="s">
        <v>142</v>
      </c>
      <c r="T28" s="27" t="n">
        <f aca="false">((100+E21*P15)/100)*X8*F18*Y11*X7*C12*P19</f>
        <v>30628.350324</v>
      </c>
      <c r="U28" s="27"/>
      <c r="V28" s="27" t="n">
        <f aca="false">((100+E21*P15)/100)*Y8*G18*Y11*Y7*C13*P19</f>
        <v>18263.5718598667</v>
      </c>
      <c r="W28" s="27"/>
      <c r="X28" s="27" t="n">
        <f aca="false">((100+IF(Z4="B",0.8,IF(Z4="F",0.8,1))*SUM(C10:H10))/100)*Z7*Z8*C14*Y10*P16*2</f>
        <v>10595.1060583956</v>
      </c>
      <c r="Y28" s="11"/>
      <c r="Z28" s="27" t="n">
        <f aca="false">T28+V28+X28</f>
        <v>59487.0282422622</v>
      </c>
      <c r="AA28" s="27"/>
      <c r="AB28" s="27"/>
      <c r="AC28" s="27"/>
      <c r="AD28" s="27"/>
      <c r="AE28" s="27"/>
      <c r="AF28" s="1"/>
      <c r="AG28" s="1"/>
      <c r="AH28" s="1"/>
      <c r="AI28" s="1"/>
      <c r="AJ28" s="1"/>
      <c r="AK28" s="1"/>
      <c r="AL28" s="1"/>
    </row>
    <row r="29" customFormat="false" ht="14.4" hidden="false" customHeight="false" outlineLevel="0" collapsed="false">
      <c r="A29" s="1"/>
      <c r="B29" s="72" t="str">
        <f aca="true">IFERROR(INDEX(INDIRECT(C3&amp;"Table"),MATCH(C2,INDIRECT(C3&amp;"Table"&amp;"[Name]"),0),COLUMN(INDIRECT(C3&amp;"Table"&amp;"[Barg4]"))),0)</f>
        <v>N/A</v>
      </c>
      <c r="C29" s="72"/>
      <c r="D29" s="72" t="n">
        <f aca="false">IFERROR(INDEX(Barrage[],MATCH(B29,Barrage[Name],0),COLUMN(Barrage[Total Damage])),0)</f>
        <v>0</v>
      </c>
      <c r="E29" s="72" t="n">
        <f aca="false">IFERROR(INDEX(Barrage[],MATCH(B29,Barrage[Name],0),COLUMN(Barrage[Base Damage])),0)</f>
        <v>0</v>
      </c>
      <c r="F29" s="72" t="n">
        <f aca="false">IFERROR(INDEX(Barrage[],MATCH(B29,Barrage[Name],0),COLUMN(Barrage[Total Rounds])),0)</f>
        <v>0</v>
      </c>
      <c r="G29" s="72" t="n">
        <f aca="false">IFERROR(INDEX(Barrage[],MATCH(B29,Barrage[Name],0),COLUMN(Barrage[Light Armor])),0)</f>
        <v>0</v>
      </c>
      <c r="H29" s="72" t="n">
        <f aca="false">IFERROR(INDEX(Barrage[],MATCH(B29,Barrage[Name],0),COLUMN(Barrage[Medium Armor])),0)</f>
        <v>0</v>
      </c>
      <c r="I29" s="72" t="n">
        <f aca="false">IFERROR(INDEX(Barrage[],MATCH(B29,Barrage[Name],0),COLUMN(Barrage[Heavy Armor])),0)</f>
        <v>0</v>
      </c>
      <c r="J29" s="90" t="n">
        <f aca="false">IFERROR(INDEX(Barrage[],MATCH(B29,Barrage[Name],0),COLUMN(Barrage[Burn %])),0)</f>
        <v>0</v>
      </c>
      <c r="K29" s="90" t="n">
        <f aca="false">IFERROR(INDEX(Barrage[],MATCH(B29,Barrage[Name],0),COLUMN(Barrage[Flood %])),0)</f>
        <v>0</v>
      </c>
      <c r="L29" s="103" t="n">
        <v>1</v>
      </c>
      <c r="M29" s="103" t="n">
        <v>0</v>
      </c>
      <c r="N29" s="72" t="n">
        <f aca="false">IFERROR(INDEX(Barrage[],MATCH(B29,Barrage[Name],0),COLUMN(Barrage[Type2])),0)</f>
        <v>0</v>
      </c>
      <c r="O29" s="72" t="n">
        <f aca="false">IFERROR(INDEX(Barrage[],MATCH(B29,Barrage[Name],0),COLUMN(Barrage[Stat Mod])),0)</f>
        <v>0</v>
      </c>
      <c r="P29" s="90" t="n">
        <f aca="false">IFERROR(INDEX(Barrage[],MATCH(B29,Barrage[Name],0),COLUMN(Barrage[Crit %])),0)</f>
        <v>0</v>
      </c>
      <c r="Q29" s="103" t="n">
        <v>1</v>
      </c>
      <c r="R29" s="1"/>
      <c r="S29" s="63" t="s">
        <v>238</v>
      </c>
      <c r="T29" s="27" t="n">
        <v>0</v>
      </c>
      <c r="U29" s="27"/>
      <c r="V29" s="27" t="n">
        <v>0</v>
      </c>
      <c r="W29" s="27"/>
      <c r="X29" s="27" t="n">
        <f aca="false">(((100+C21)/100)*C14*H12*H18*AD3+5)*5*(1-(1-AD4)^(H19))</f>
        <v>0</v>
      </c>
      <c r="Y29" s="27"/>
      <c r="Z29" s="27" t="n">
        <f aca="false">SUM(T29+V29+X29)</f>
        <v>0</v>
      </c>
      <c r="AA29" s="27"/>
      <c r="AB29" s="27"/>
      <c r="AC29" s="27"/>
      <c r="AD29" s="27"/>
      <c r="AE29" s="27"/>
      <c r="AF29" s="1"/>
      <c r="AG29" s="1"/>
      <c r="AH29" s="1"/>
      <c r="AI29" s="1"/>
      <c r="AJ29" s="1"/>
      <c r="AK29" s="1"/>
      <c r="AL29" s="1"/>
    </row>
    <row r="30" customFormat="false" ht="14.4" hidden="false" customHeight="false" outlineLevel="0" collapsed="false">
      <c r="A30" s="1"/>
      <c r="B30" s="1"/>
      <c r="C30" s="1"/>
      <c r="D30" s="1"/>
      <c r="E30" s="1"/>
      <c r="F30" s="1"/>
      <c r="G30" s="1"/>
      <c r="H30" s="1"/>
      <c r="I30" s="1"/>
      <c r="J30" s="1"/>
      <c r="K30" s="1"/>
      <c r="L30" s="1"/>
      <c r="M30" s="1"/>
      <c r="N30" s="1"/>
      <c r="O30" s="1"/>
      <c r="P30" s="1"/>
      <c r="Q30" s="1"/>
      <c r="R30" s="1"/>
      <c r="S30" s="63" t="s">
        <v>353</v>
      </c>
      <c r="T30" s="27" t="n">
        <f aca="false">(((100+E20)/100)*1*1*F17*P19+10)*8*(1-(1-P20)^(X8))</f>
        <v>0</v>
      </c>
      <c r="U30" s="27"/>
      <c r="V30" s="27" t="n">
        <f aca="false">(((100+E20)/100)*1*1*G17*P19+10)*8*(1-(1-P20)^(X8))</f>
        <v>0</v>
      </c>
      <c r="W30" s="27"/>
      <c r="X30" s="27" t="n">
        <v>0</v>
      </c>
      <c r="Y30" s="27"/>
      <c r="Z30" s="27" t="n">
        <f aca="false">SUM(T30+V30+X30)</f>
        <v>0</v>
      </c>
      <c r="AA30" s="27"/>
      <c r="AB30" s="27"/>
      <c r="AC30" s="27"/>
      <c r="AD30" s="27"/>
      <c r="AE30" s="27"/>
      <c r="AF30" s="1"/>
      <c r="AG30" s="1"/>
      <c r="AH30" s="1"/>
      <c r="AI30" s="1"/>
      <c r="AJ30" s="1"/>
      <c r="AK30" s="1"/>
      <c r="AL30" s="1"/>
    </row>
    <row r="31" customFormat="false" ht="14.4" hidden="false" customHeight="false" outlineLevel="0" collapsed="false">
      <c r="A31" s="1"/>
      <c r="B31" s="1"/>
      <c r="C31" s="1"/>
      <c r="D31" s="1"/>
      <c r="E31" s="1"/>
      <c r="F31" s="1"/>
      <c r="G31" s="1"/>
      <c r="H31" s="1"/>
      <c r="I31" s="1"/>
      <c r="J31" s="1"/>
      <c r="K31" s="1"/>
      <c r="L31" s="1"/>
      <c r="M31" s="1"/>
      <c r="N31" s="1"/>
      <c r="O31" s="1"/>
      <c r="P31" s="1"/>
      <c r="Q31" s="1"/>
      <c r="R31" s="1"/>
      <c r="S31" s="63"/>
      <c r="T31" s="63"/>
      <c r="U31" s="63"/>
      <c r="V31" s="63"/>
      <c r="W31" s="63"/>
      <c r="X31" s="63"/>
      <c r="Y31" s="11"/>
      <c r="Z31" s="11"/>
      <c r="AA31" s="27"/>
      <c r="AB31" s="27"/>
      <c r="AC31" s="27"/>
      <c r="AD31" s="27"/>
      <c r="AE31" s="27"/>
      <c r="AF31" s="1"/>
      <c r="AG31" s="1"/>
      <c r="AH31" s="1"/>
      <c r="AI31" s="1"/>
      <c r="AJ31" s="1"/>
      <c r="AK31" s="1"/>
      <c r="AL31" s="1"/>
    </row>
    <row r="32" customFormat="false" ht="14.4" hidden="false" customHeight="false" outlineLevel="0" collapsed="false">
      <c r="A32" s="1"/>
      <c r="B32" s="1"/>
      <c r="C32" s="1"/>
      <c r="D32" s="1"/>
      <c r="E32" s="1"/>
      <c r="F32" s="1"/>
      <c r="G32" s="1"/>
      <c r="H32" s="1"/>
      <c r="I32" s="1"/>
      <c r="J32" s="1"/>
      <c r="K32" s="1"/>
      <c r="L32" s="1"/>
      <c r="M32" s="1"/>
      <c r="N32" s="1"/>
      <c r="O32" s="1"/>
      <c r="P32" s="1"/>
      <c r="Q32" s="1"/>
      <c r="R32" s="1"/>
      <c r="S32" s="63" t="s">
        <v>354</v>
      </c>
      <c r="T32" s="27"/>
      <c r="U32" s="27"/>
      <c r="V32" s="63" t="s">
        <v>355</v>
      </c>
      <c r="W32" s="27"/>
      <c r="X32" s="63" t="s">
        <v>355</v>
      </c>
      <c r="Y32" s="11"/>
      <c r="Z32" s="63" t="s">
        <v>355</v>
      </c>
      <c r="AA32" s="27"/>
      <c r="AB32" s="63" t="s">
        <v>356</v>
      </c>
      <c r="AC32" s="27"/>
      <c r="AD32" s="27"/>
      <c r="AE32" s="27"/>
      <c r="AF32" s="1"/>
      <c r="AG32" s="1"/>
      <c r="AH32" s="1"/>
      <c r="AI32" s="1"/>
      <c r="AJ32" s="1"/>
      <c r="AK32" s="1"/>
      <c r="AL32" s="1"/>
    </row>
    <row r="33" customFormat="false" ht="14.4" hidden="false" customHeight="false" outlineLevel="0" collapsed="false">
      <c r="A33" s="1"/>
      <c r="B33" s="1"/>
      <c r="C33" s="1"/>
      <c r="D33" s="1"/>
      <c r="E33" s="1"/>
      <c r="F33" s="1"/>
      <c r="G33" s="1"/>
      <c r="H33" s="1"/>
      <c r="I33" s="1"/>
      <c r="J33" s="1"/>
      <c r="K33" s="1"/>
      <c r="L33" s="1"/>
      <c r="M33" s="1"/>
      <c r="N33" s="1"/>
      <c r="O33" s="1"/>
      <c r="P33" s="1"/>
      <c r="Q33" s="1"/>
      <c r="R33" s="1"/>
      <c r="S33" s="63" t="s">
        <v>138</v>
      </c>
      <c r="T33" s="27" t="n">
        <f aca="false">IFERROR((D26*G26*((100+IF(N26="FP",C21*P14,E21*P15)*O26)/100))*IF(P26=0,IF(N26="FP",Y10,Y11),P26*IF(N26="FP",L16+L17+1,L16+L18+1))*L26,0)*Q26</f>
        <v>3818.23888441989</v>
      </c>
      <c r="U33" s="27"/>
      <c r="V33" s="27" t="n">
        <f aca="false">IFERROR((D27*G27*((100+IF(N27="FP",C21*P14,E21*P15)*O27)/100))*IF(P27=0,IF(N27="FP",Y10,Y11),P27*IF(N27="FP",L16+L17+1,L16+L18+1))*L27,0)*Q27</f>
        <v>0</v>
      </c>
      <c r="W33" s="27"/>
      <c r="X33" s="27" t="n">
        <f aca="false">IFERROR((D28*G28*((100+IF(N28="FP",C21*P14,E21*P15)*O28)/100))*IF(P28=0,IF(N28="FP",Y10,Y11),P28*IF(N28="FP",L16+L17+1,L16+L18+1))*L28,0)*Q28</f>
        <v>0</v>
      </c>
      <c r="Y33" s="11"/>
      <c r="Z33" s="27" t="n">
        <f aca="false">IFERROR((D29*G29*((100+IF(N29="FP",C21*P14,E21*P15)*O29)/100))*IF(P29=0,IF(N29="FP",Y10,Y11),P29*IF(N29="FP",L16+L17+1,L16+L18+1))*L29,0)*Q29</f>
        <v>0</v>
      </c>
      <c r="AA33" s="27"/>
      <c r="AB33" s="27" t="n">
        <f aca="false">SUM(T33:Z33)</f>
        <v>3818.23888441989</v>
      </c>
      <c r="AC33" s="27"/>
      <c r="AD33" s="27"/>
      <c r="AE33" s="27"/>
      <c r="AF33" s="1"/>
      <c r="AG33" s="1"/>
      <c r="AH33" s="1"/>
      <c r="AI33" s="1"/>
      <c r="AJ33" s="1"/>
      <c r="AK33" s="1"/>
      <c r="AL33" s="1"/>
    </row>
    <row r="34" customFormat="false" ht="14.4" hidden="false" customHeight="false" outlineLevel="0" collapsed="false">
      <c r="A34" s="1"/>
      <c r="B34" s="1"/>
      <c r="C34" s="1"/>
      <c r="D34" s="1"/>
      <c r="E34" s="1"/>
      <c r="F34" s="1"/>
      <c r="G34" s="1"/>
      <c r="H34" s="1"/>
      <c r="I34" s="1"/>
      <c r="J34" s="1"/>
      <c r="K34" s="1"/>
      <c r="L34" s="1"/>
      <c r="M34" s="1"/>
      <c r="N34" s="1"/>
      <c r="O34" s="1"/>
      <c r="P34" s="1"/>
      <c r="Q34" s="1"/>
      <c r="R34" s="1"/>
      <c r="S34" s="63" t="s">
        <v>140</v>
      </c>
      <c r="T34" s="27" t="n">
        <f aca="false">IFERROR((D26*H26*((100+IF(N26="FP",C21*P14,E21*P15)*O26)/100))*IF(P26=0,IF(N26="FP",Y10,Y11),P26*IF(N26="FP",L16+L17+1,L16+L18+1))*L26,0)*Q26</f>
        <v>4772.79860552486</v>
      </c>
      <c r="U34" s="27"/>
      <c r="V34" s="27" t="n">
        <f aca="false">IFERROR((D27*H27*((100+IF(N27="FP",C21*P14,E21*P15)*O27)/100))*IF(P27=0,IF(N27="FP",Y10,Y11),P27*IF(N27="FP",L16+L17+1,L16+L18+1))*L27,0)*Q27</f>
        <v>0</v>
      </c>
      <c r="W34" s="27"/>
      <c r="X34" s="27" t="n">
        <f aca="false">IFERROR((D28*H28*((100+IF(N28="FP",C21*P14,E21*P15)*O28)/100))*IF(P28=0,IF(N28="FP",Y10,Y11),P28*IF(N28="FP",L16+L17+1,L16+L18+1))*L28,0)*Q28</f>
        <v>0</v>
      </c>
      <c r="Y34" s="11"/>
      <c r="Z34" s="27" t="n">
        <f aca="false">IFERROR((D29*H29*((100+IF(N29="FP",C21*P14,E21*P15)*O29)/100))*IF(P29=0,IF(N29="FP",Y10,Y11),P29*IF(N29="FP",L16+L17+1,L16+L18+1))*L29,0)*Q29</f>
        <v>0</v>
      </c>
      <c r="AA34" s="27"/>
      <c r="AB34" s="27" t="n">
        <f aca="false">SUM(T34:Z34)</f>
        <v>4772.79860552486</v>
      </c>
      <c r="AC34" s="27"/>
      <c r="AD34" s="27"/>
      <c r="AE34" s="27"/>
      <c r="AF34" s="1"/>
      <c r="AG34" s="1"/>
      <c r="AH34" s="1"/>
      <c r="AI34" s="1"/>
      <c r="AJ34" s="1"/>
      <c r="AK34" s="1"/>
      <c r="AL34" s="1"/>
    </row>
    <row r="35" customFormat="false" ht="14.4" hidden="false" customHeight="false" outlineLevel="0" collapsed="false">
      <c r="A35" s="1"/>
      <c r="B35" s="1"/>
      <c r="C35" s="1"/>
      <c r="D35" s="1"/>
      <c r="E35" s="1"/>
      <c r="F35" s="1"/>
      <c r="G35" s="1"/>
      <c r="H35" s="1"/>
      <c r="I35" s="1"/>
      <c r="J35" s="1"/>
      <c r="K35" s="1"/>
      <c r="L35" s="1"/>
      <c r="M35" s="1"/>
      <c r="N35" s="1"/>
      <c r="O35" s="1"/>
      <c r="P35" s="1"/>
      <c r="Q35" s="1"/>
      <c r="R35" s="1"/>
      <c r="S35" s="63" t="s">
        <v>142</v>
      </c>
      <c r="T35" s="27" t="n">
        <f aca="false">IFERROR((D26*I26*((100+IF(N26="FP",C21*P14,E21*P15)*O26)/100))*IF(P26=0,IF(N26="FP",Y10,Y11),P26*IF(N26="FP",L16+L17+1,L16+L18+1))*L26,0)*Q26</f>
        <v>6204.63818718232</v>
      </c>
      <c r="U35" s="63"/>
      <c r="V35" s="27" t="n">
        <f aca="false">IFERROR((D27*I27*((100+IF(N27="FP",C21*P14,E21*P15)*O27)/100))*IF(P27=0,IF(N27="FP",Y10,Y11),P27*IF(N27="FP",L16+L17+1,L16+L18+1))*L27,0)*Q27</f>
        <v>0</v>
      </c>
      <c r="W35" s="63"/>
      <c r="X35" s="27" t="n">
        <f aca="false">IFERROR((D28*I28*((100+IF(N28="FP",C21*P14,E21*P15)*O28)/100))*IF(P28=0,IF(N28="FP",Y10,Y11),P28*IF(N28="FP",L16+L17+1,L16+L18+1))*L28,0)*Q28</f>
        <v>0</v>
      </c>
      <c r="Y35" s="63"/>
      <c r="Z35" s="27" t="n">
        <f aca="false">IFERROR((D29*I29*((100+IF(N29="FP",C21*P14,E21*P15)*O29)/100))*IF(P29=0,IF(N29="FP",Y10,Y11),P29*IF(N29="FP",L16+L17+1,L16+L18+1))*L29,0)*Q29</f>
        <v>0</v>
      </c>
      <c r="AA35" s="27"/>
      <c r="AB35" s="27" t="n">
        <f aca="false">SUM(T35:Z35)</f>
        <v>6204.63818718232</v>
      </c>
      <c r="AC35" s="27"/>
      <c r="AD35" s="27"/>
      <c r="AE35" s="27"/>
      <c r="AF35" s="1"/>
      <c r="AG35" s="1"/>
      <c r="AH35" s="1"/>
      <c r="AI35" s="1"/>
      <c r="AJ35" s="1"/>
      <c r="AK35" s="1"/>
      <c r="AL35" s="1"/>
    </row>
    <row r="36" customFormat="false" ht="14.4" hidden="false" customHeight="false" outlineLevel="0" collapsed="false">
      <c r="A36" s="1"/>
      <c r="B36" s="1"/>
      <c r="C36" s="1"/>
      <c r="D36" s="1"/>
      <c r="E36" s="1"/>
      <c r="F36" s="1"/>
      <c r="G36" s="1"/>
      <c r="H36" s="1"/>
      <c r="I36" s="1"/>
      <c r="J36" s="1"/>
      <c r="K36" s="1"/>
      <c r="L36" s="1"/>
      <c r="M36" s="1"/>
      <c r="N36" s="1"/>
      <c r="O36" s="1"/>
      <c r="P36" s="1"/>
      <c r="Q36" s="1"/>
      <c r="R36" s="1"/>
      <c r="S36" s="63" t="s">
        <v>238</v>
      </c>
      <c r="T36" s="27" t="n">
        <f aca="false">(((100+IF(N26="FP",C21*P15,E21*P16)*O26/100)*C14*1*E26*AD5+5)*(1-(1-J26)^(F26))*5)</f>
        <v>0</v>
      </c>
      <c r="U36" s="63"/>
      <c r="V36" s="27" t="n">
        <f aca="false">(((100+IF(N26="FP",C21*P15,E21*P16)*O27)/100)*C14*1*E27*AD5+5)*(1-(1-J27)^(F27))*5</f>
        <v>0</v>
      </c>
      <c r="W36" s="63"/>
      <c r="X36" s="27" t="n">
        <f aca="false">(((100+IF(N26="FP",C21*P15,E21*P16)*O28)/100)*C14*1*E28*AD5+5)*(1-(1-J28)^(F28))*5</f>
        <v>0</v>
      </c>
      <c r="Y36" s="63"/>
      <c r="Z36" s="27" t="n">
        <f aca="false">(((100+IF(N26="FP",C21*P15,E21*P16)*O29)/100)*C14*1*E29*AD5+5)*(1-(1-J29)^(F29))*5</f>
        <v>0</v>
      </c>
      <c r="AA36" s="27"/>
      <c r="AB36" s="27" t="n">
        <f aca="false">SUM(T36:Z36)</f>
        <v>0</v>
      </c>
      <c r="AC36" s="27"/>
      <c r="AD36" s="27"/>
      <c r="AE36" s="27"/>
      <c r="AF36" s="1"/>
      <c r="AG36" s="1"/>
      <c r="AH36" s="1"/>
      <c r="AI36" s="1"/>
      <c r="AJ36" s="1"/>
      <c r="AK36" s="1"/>
      <c r="AL36" s="1"/>
    </row>
    <row r="37" customFormat="false" ht="14.4" hidden="false" customHeight="false" outlineLevel="0" collapsed="false">
      <c r="A37" s="1"/>
      <c r="B37" s="1"/>
      <c r="C37" s="1"/>
      <c r="D37" s="1"/>
      <c r="E37" s="1"/>
      <c r="F37" s="1"/>
      <c r="G37" s="1"/>
      <c r="H37" s="1"/>
      <c r="I37" s="1"/>
      <c r="J37" s="1"/>
      <c r="K37" s="1"/>
      <c r="L37" s="1"/>
      <c r="M37" s="1"/>
      <c r="N37" s="1"/>
      <c r="O37" s="1"/>
      <c r="P37" s="1"/>
      <c r="Q37" s="1"/>
      <c r="R37" s="1"/>
      <c r="S37" s="63" t="s">
        <v>241</v>
      </c>
      <c r="T37" s="27" t="n">
        <f aca="false">IFERROR(T36/15*(MIN((15/IF(T15=1,IF(M26=0,G20*L23+AD8,M26),T16)),1)),0)</f>
        <v>0</v>
      </c>
      <c r="U37" s="63"/>
      <c r="V37" s="27" t="n">
        <f aca="false">IFERROR(V36/15*(MIN((15/IF(T15=1,IF(M27=0,G20*L23+AD8,M27),T16)),1)),0)</f>
        <v>0</v>
      </c>
      <c r="W37" s="63"/>
      <c r="X37" s="27" t="n">
        <f aca="false">IFERROR(X36/15*(MIN((15/IF(T15=1,IF(M28=0,G20*L23+AD8,M28),T16)),1)),0)</f>
        <v>0</v>
      </c>
      <c r="Y37" s="63"/>
      <c r="Z37" s="27" t="n">
        <f aca="false">IFERROR(Z36/15*(MIN((15/IF(T15=1,IF(M29=0,G20*L23+AD8,M29),T16)),1)),0)</f>
        <v>0</v>
      </c>
      <c r="AA37" s="27"/>
      <c r="AB37" s="27" t="n">
        <f aca="false">SUM(T37:Z37)</f>
        <v>0</v>
      </c>
      <c r="AC37" s="27"/>
      <c r="AD37" s="27"/>
      <c r="AE37" s="27"/>
      <c r="AF37" s="1"/>
      <c r="AG37" s="1"/>
      <c r="AH37" s="1"/>
      <c r="AI37" s="1"/>
      <c r="AJ37" s="1"/>
      <c r="AK37" s="1"/>
      <c r="AL37" s="1"/>
    </row>
    <row r="38" customFormat="false" ht="14.4" hidden="false" customHeight="false" outlineLevel="0" collapsed="false">
      <c r="A38" s="1"/>
      <c r="B38" s="1"/>
      <c r="C38" s="1"/>
      <c r="D38" s="1"/>
      <c r="E38" s="1"/>
      <c r="F38" s="1"/>
      <c r="G38" s="1"/>
      <c r="H38" s="1"/>
      <c r="I38" s="1"/>
      <c r="J38" s="1"/>
      <c r="K38" s="1"/>
      <c r="L38" s="1"/>
      <c r="M38" s="1"/>
      <c r="N38" s="1"/>
      <c r="O38" s="1"/>
      <c r="P38" s="1"/>
      <c r="Q38" s="1"/>
      <c r="R38" s="1"/>
      <c r="S38" s="63" t="s">
        <v>353</v>
      </c>
      <c r="T38" s="27" t="n">
        <f aca="false">K26*(E26*((100+E21*O26*P16)/100)*L26+10)*8</f>
        <v>0</v>
      </c>
      <c r="U38" s="63"/>
      <c r="V38" s="27" t="n">
        <f aca="false">K27*(E27*((100+E21*O27*P16)/100)*L27+10)*8</f>
        <v>0</v>
      </c>
      <c r="W38" s="63"/>
      <c r="X38" s="27"/>
      <c r="Y38" s="63"/>
      <c r="Z38" s="27"/>
      <c r="AA38" s="27"/>
      <c r="AB38" s="27"/>
      <c r="AC38" s="27"/>
      <c r="AD38" s="27"/>
      <c r="AE38" s="27"/>
      <c r="AF38" s="1"/>
      <c r="AG38" s="1"/>
      <c r="AH38" s="1"/>
      <c r="AI38" s="1"/>
      <c r="AJ38" s="1"/>
      <c r="AK38" s="1"/>
      <c r="AL38" s="1"/>
    </row>
    <row r="39" customFormat="false" ht="14.4" hidden="false" customHeight="false" outlineLevel="0" collapsed="false">
      <c r="A39" s="1"/>
      <c r="B39" s="1"/>
      <c r="C39" s="1"/>
      <c r="D39" s="1"/>
      <c r="E39" s="1"/>
      <c r="F39" s="1"/>
      <c r="G39" s="1"/>
      <c r="H39" s="1"/>
      <c r="I39" s="1"/>
      <c r="J39" s="1"/>
      <c r="K39" s="1"/>
      <c r="L39" s="1"/>
      <c r="M39" s="1"/>
      <c r="N39" s="1"/>
      <c r="O39" s="1"/>
      <c r="P39" s="1"/>
      <c r="Q39" s="1"/>
      <c r="R39" s="1"/>
      <c r="S39" s="63" t="s">
        <v>304</v>
      </c>
      <c r="T39" s="27" t="n">
        <f aca="false">T38/24*(MIN((24/IF(M26=0,AD7,M26)),1))</f>
        <v>0</v>
      </c>
      <c r="U39" s="63"/>
      <c r="V39" s="27" t="n">
        <f aca="false">V38/24*(MIN((24/IF(M27=0,AD7,M27)),1))</f>
        <v>0</v>
      </c>
      <c r="W39" s="63"/>
      <c r="X39" s="27"/>
      <c r="Y39" s="63"/>
      <c r="Z39" s="27"/>
      <c r="AA39" s="27"/>
      <c r="AB39" s="27"/>
      <c r="AC39" s="27"/>
      <c r="AD39" s="27"/>
      <c r="AE39" s="27"/>
      <c r="AF39" s="1"/>
      <c r="AG39" s="1"/>
      <c r="AH39" s="1"/>
      <c r="AI39" s="1"/>
      <c r="AJ39" s="1"/>
      <c r="AK39" s="1"/>
      <c r="AL39" s="1"/>
    </row>
    <row r="40" customFormat="false" ht="14.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customFormat="false" ht="14.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customFormat="false" ht="14.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customFormat="false" ht="14.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customFormat="false" ht="14.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customFormat="false" ht="14.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customFormat="false" ht="14.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row>
    <row r="47" customFormat="false" ht="14.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customFormat="false" ht="14.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customFormat="false" ht="14.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row>
    <row r="50" customFormat="false" ht="14.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row>
    <row r="51" customFormat="false" ht="14.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customFormat="false" ht="14.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customFormat="false" ht="14.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customFormat="false" ht="14.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customFormat="false" ht="14.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customFormat="false" ht="14.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customFormat="false" ht="14.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row>
    <row r="58" customFormat="false" ht="14.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customFormat="false" ht="14.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row>
    <row r="60" customFormat="false" ht="14.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row>
    <row r="61" customFormat="false" ht="14.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row>
    <row r="62" customFormat="false" ht="14.4"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row>
    <row r="63" customFormat="false" ht="14.4"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row>
    <row r="64" customFormat="false" ht="14.4"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sheetData>
  <mergeCells count="2">
    <mergeCell ref="W2:AC2"/>
    <mergeCell ref="J13:U13"/>
  </mergeCells>
  <dataValidations count="11">
    <dataValidation allowBlank="true" errorStyle="stop" operator="between" showDropDown="false" showErrorMessage="true" showInputMessage="true" sqref="H4" type="list">
      <formula1>INDIRECT($H$3&amp;"Table[Name]")</formula1>
      <formula2>0</formula2>
    </dataValidation>
    <dataValidation allowBlank="true" errorStyle="stop" operator="between" showDropDown="false" showErrorMessage="true" showInputMessage="true" sqref="E4" type="list">
      <formula1>INDIRECT($E$3&amp;"Table[Name]")</formula1>
      <formula2>0</formula2>
    </dataValidation>
    <dataValidation allowBlank="true" errorStyle="stop" operator="between" showDropDown="false" showErrorMessage="true" showInputMessage="true" sqref="G4" type="list">
      <formula1>INDIRECT($G$3&amp;"Table[Name]")</formula1>
      <formula2>0</formula2>
    </dataValidation>
    <dataValidation allowBlank="true" errorStyle="stop" operator="between" showDropDown="false" showErrorMessage="true" showInputMessage="true" sqref="F4" type="list">
      <formula1>INDIRECT($F$3&amp;"Table[Name]")</formula1>
      <formula2>0</formula2>
    </dataValidation>
    <dataValidation allowBlank="true" errorStyle="stop" operator="between" showDropDown="false" showErrorMessage="true" showInputMessage="true" sqref="D4" type="list">
      <formula1>INDIRECT($D$3&amp;"Table[Name]")</formula1>
      <formula2>0</formula2>
    </dataValidation>
    <dataValidation allowBlank="true" errorStyle="stop" operator="between" showDropDown="false" showErrorMessage="true" showInputMessage="true" sqref="D3:E3" type="list">
      <formula1>INDIRECT("AuxType[Type]")</formula1>
      <formula2>0</formula2>
    </dataValidation>
    <dataValidation allowBlank="true" errorStyle="stop" operator="between" showDropDown="false" showErrorMessage="true" showInputMessage="true" sqref="F3:H3" type="list">
      <formula1>INDIRECT("EquipType[Type]")</formula1>
      <formula2>0</formula2>
    </dataValidation>
    <dataValidation allowBlank="true" errorStyle="stop" operator="between" showDropDown="false" showErrorMessage="true" showInputMessage="true" sqref="C2" type="list">
      <formula1>INDIRECT(INDEX(INDIRECT("SType[Type]"), MATCH(B2,INDIRECT("Stype[Ship]"), 0))&amp;"Table[Name]")</formula1>
      <formula2>0</formula2>
    </dataValidation>
    <dataValidation allowBlank="true" errorStyle="stop" operator="between" showDropDown="false" showErrorMessage="true" showInputMessage="true" sqref="B2" type="list">
      <formula1>INDIRECT("Stype[Ship]")</formula1>
      <formula2>0</formula2>
    </dataValidation>
    <dataValidation allowBlank="true" errorStyle="stop" operator="between" showDropDown="false" showErrorMessage="true" showInputMessage="true" sqref="T21" type="list">
      <formula1>INDIRECT("YNTable[Type]")</formula1>
      <formula2>0</formula2>
    </dataValidation>
    <dataValidation allowBlank="true" errorStyle="stop" operator="between" showDropDown="false" showErrorMessage="true" showInputMessage="true" sqref="N26:N29" type="list">
      <formula1>'Ship Stats'!$A$1084:$A$1086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29</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2019-02-04T09:05:14Z</dcterms:created>
  <dc:creator>George Thomas</dc:creator>
  <dc:description/>
  <dc:language>en-GB</dc:language>
  <cp:lastModifiedBy/>
  <dcterms:modified xsi:type="dcterms:W3CDTF">2022-05-01T09:34:23Z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