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01_GIT_REPOS\FRA_Sensor_platform\1-SystemDocs\"/>
    </mc:Choice>
  </mc:AlternateContent>
  <bookViews>
    <workbookView xWindow="0" yWindow="-120" windowWidth="12960" windowHeight="11760" firstSheet="10" activeTab="17"/>
  </bookViews>
  <sheets>
    <sheet name="Contents" sheetId="13" r:id="rId1"/>
    <sheet name="SPI ETH ESP32" sheetId="1" r:id="rId2"/>
    <sheet name="Pinout ETH DEEK" sheetId="2" r:id="rId3"/>
    <sheet name="JTAG conn" sheetId="3" r:id="rId4"/>
    <sheet name="SD usage" sheetId="4" r:id="rId5"/>
    <sheet name="UDP packets" sheetId="5" r:id="rId6"/>
    <sheet name="UDP datagram definition" sheetId="6" r:id="rId7"/>
    <sheet name="Message Types" sheetId="7" r:id="rId8"/>
    <sheet name="Meas_sample" sheetId="18" r:id="rId9"/>
    <sheet name="Sensor Type table" sheetId="19" r:id="rId10"/>
    <sheet name="ADC autorange" sheetId="23" r:id="rId11"/>
    <sheet name="Sensor configuration set" sheetId="22" r:id="rId12"/>
    <sheet name="El-chem debugging" sheetId="24" r:id="rId13"/>
    <sheet name="LabVIEW data log" sheetId="20" r:id="rId14"/>
    <sheet name="Error Codes" sheetId="16" r:id="rId15"/>
    <sheet name="LW Error Codes" sheetId="17" r:id="rId16"/>
    <sheet name="Time budget" sheetId="11" r:id="rId17"/>
    <sheet name="TO DO" sheetId="8" r:id="rId18"/>
    <sheet name="System setup" sheetId="12" r:id="rId19"/>
    <sheet name="Sensors Example datasheet val." sheetId="14" r:id="rId20"/>
    <sheet name="IssueTracking" sheetId="15" r:id="rId21"/>
    <sheet name="Button and LED UI table" sheetId="21" r:id="rId22"/>
  </sheets>
  <definedNames>
    <definedName name="_xlnm._FilterDatabase" localSheetId="17" hidden="1">'TO DO'!$A$2:$B$60</definedName>
    <definedName name="error_codes" localSheetId="14">'Error Codes'!$A$4:$C$46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22" l="1"/>
  <c r="I34" i="22"/>
  <c r="J34" i="22"/>
  <c r="L34" i="22"/>
  <c r="M34" i="22"/>
  <c r="N34" i="22"/>
  <c r="O34" i="22"/>
  <c r="P34" i="22"/>
  <c r="Q34" i="22"/>
  <c r="R34" i="22"/>
  <c r="H33" i="22"/>
  <c r="I33" i="22"/>
  <c r="J33" i="22"/>
  <c r="L33" i="22"/>
  <c r="M33" i="22"/>
  <c r="N33" i="22"/>
  <c r="O33" i="22"/>
  <c r="P33" i="22"/>
  <c r="Q33" i="22"/>
  <c r="R33" i="22"/>
  <c r="R32" i="22" l="1"/>
  <c r="Q32" i="22"/>
  <c r="P32" i="22"/>
  <c r="O32" i="22"/>
  <c r="N32" i="22"/>
  <c r="M32" i="22"/>
  <c r="L32" i="22"/>
  <c r="J32" i="22"/>
  <c r="I32" i="22"/>
  <c r="H32" i="22"/>
  <c r="J50" i="24" l="1"/>
  <c r="I50" i="24"/>
  <c r="H50" i="24"/>
  <c r="J27" i="22"/>
  <c r="I27" i="22"/>
  <c r="H27" i="22"/>
  <c r="L27" i="22" l="1"/>
  <c r="M27" i="22"/>
  <c r="N27" i="22"/>
  <c r="O27" i="22"/>
  <c r="P27" i="22"/>
  <c r="Q27" i="22"/>
  <c r="R27" i="22"/>
  <c r="G42" i="24"/>
  <c r="G38" i="24"/>
  <c r="G36" i="24"/>
  <c r="K41" i="24"/>
  <c r="K40" i="24"/>
  <c r="K38" i="24"/>
  <c r="K37" i="24"/>
  <c r="I22" i="22" l="1"/>
  <c r="J22" i="22"/>
  <c r="I23" i="22"/>
  <c r="J23" i="22"/>
  <c r="I24" i="22"/>
  <c r="J24" i="22"/>
  <c r="I25" i="22"/>
  <c r="J25" i="22"/>
  <c r="I26" i="22"/>
  <c r="J26" i="22"/>
  <c r="I21" i="22"/>
  <c r="J21" i="22"/>
  <c r="H22" i="22"/>
  <c r="H23" i="22"/>
  <c r="H24" i="22"/>
  <c r="H25" i="22"/>
  <c r="H26" i="22"/>
  <c r="H21" i="22"/>
  <c r="O22" i="22"/>
  <c r="P22" i="22"/>
  <c r="Q22" i="22"/>
  <c r="R22" i="22"/>
  <c r="O23" i="22"/>
  <c r="P23" i="22"/>
  <c r="Q23" i="22"/>
  <c r="R23" i="22"/>
  <c r="O24" i="22"/>
  <c r="P24" i="22"/>
  <c r="Q24" i="22"/>
  <c r="R24" i="22"/>
  <c r="O25" i="22"/>
  <c r="P25" i="22"/>
  <c r="Q25" i="22"/>
  <c r="R25" i="22"/>
  <c r="O26" i="22"/>
  <c r="P26" i="22"/>
  <c r="Q26" i="22"/>
  <c r="R26" i="22"/>
  <c r="N22" i="22"/>
  <c r="N23" i="22"/>
  <c r="N24" i="22"/>
  <c r="N25" i="22"/>
  <c r="N26" i="22"/>
  <c r="M22" i="22"/>
  <c r="M23" i="22"/>
  <c r="M24" i="22"/>
  <c r="M25" i="22"/>
  <c r="M26" i="22"/>
  <c r="L22" i="22"/>
  <c r="L23" i="22"/>
  <c r="L24" i="22"/>
  <c r="L25" i="22"/>
  <c r="L26" i="22"/>
  <c r="R21" i="22"/>
  <c r="Q21" i="22"/>
  <c r="P21" i="22"/>
  <c r="O21" i="22"/>
  <c r="N21" i="22"/>
  <c r="M21" i="22"/>
  <c r="L21" i="22"/>
  <c r="R17" i="22"/>
  <c r="Q17" i="22"/>
  <c r="P17" i="22"/>
  <c r="O17" i="22"/>
  <c r="N17" i="22"/>
  <c r="M17" i="22"/>
  <c r="L17" i="22"/>
  <c r="I17" i="22"/>
  <c r="J17" i="22"/>
  <c r="H17" i="22"/>
  <c r="G35" i="24" l="1"/>
  <c r="G39" i="24"/>
  <c r="E22" i="24"/>
  <c r="E21" i="24"/>
  <c r="D21" i="24"/>
  <c r="C21" i="24"/>
  <c r="K43" i="24" l="1"/>
  <c r="K44" i="24" s="1"/>
  <c r="G41" i="24"/>
  <c r="E9" i="23"/>
  <c r="E8" i="23"/>
  <c r="D8" i="23"/>
  <c r="E7" i="23"/>
  <c r="D7" i="23"/>
  <c r="E6" i="23"/>
  <c r="D6" i="23"/>
  <c r="E5" i="23"/>
  <c r="D5" i="23"/>
  <c r="D4" i="23"/>
  <c r="C100" i="19" l="1"/>
  <c r="C99" i="19"/>
  <c r="C98" i="19"/>
  <c r="C97" i="19"/>
  <c r="C96" i="19"/>
  <c r="C95" i="19"/>
  <c r="C94" i="19"/>
  <c r="C93" i="19"/>
  <c r="C92" i="19"/>
  <c r="C91" i="19"/>
  <c r="C90" i="19"/>
  <c r="C89" i="19"/>
  <c r="C88" i="19"/>
  <c r="C87" i="19"/>
  <c r="C86" i="19"/>
  <c r="C85" i="19"/>
  <c r="C84" i="19"/>
  <c r="C83" i="19"/>
  <c r="C82" i="19"/>
  <c r="C81" i="19"/>
  <c r="C80" i="19"/>
  <c r="C79" i="19"/>
  <c r="C78" i="19"/>
  <c r="C77" i="19"/>
  <c r="C76" i="19"/>
  <c r="C75" i="19"/>
  <c r="C74" i="19"/>
  <c r="C73" i="19"/>
  <c r="C72" i="19"/>
  <c r="C71" i="19"/>
  <c r="C70" i="19"/>
  <c r="C69" i="19"/>
  <c r="C68" i="19"/>
  <c r="C67" i="19"/>
  <c r="C66" i="19"/>
  <c r="C65" i="19"/>
  <c r="C64" i="19"/>
  <c r="C63" i="19"/>
  <c r="C62" i="19"/>
  <c r="C61" i="19"/>
  <c r="C60" i="19"/>
  <c r="C59" i="19"/>
  <c r="C58" i="19"/>
  <c r="C57" i="19"/>
  <c r="C56" i="19"/>
  <c r="C55" i="19"/>
  <c r="C54" i="19"/>
  <c r="C53" i="19"/>
  <c r="C52" i="19"/>
  <c r="C51" i="19"/>
  <c r="C50" i="19"/>
  <c r="C49" i="19"/>
  <c r="C48" i="19"/>
  <c r="C47" i="19"/>
  <c r="C46" i="19"/>
  <c r="C45" i="19"/>
  <c r="C44" i="19"/>
  <c r="C43" i="19"/>
  <c r="C42" i="19"/>
  <c r="C41" i="19"/>
  <c r="C40" i="19"/>
  <c r="C39" i="19"/>
  <c r="C38" i="19"/>
  <c r="C37" i="19"/>
  <c r="C36" i="19"/>
  <c r="C35" i="19"/>
  <c r="C34" i="19"/>
  <c r="C33" i="19"/>
  <c r="C32" i="19"/>
  <c r="C31" i="19"/>
  <c r="C30" i="19"/>
  <c r="C29" i="19"/>
  <c r="C28" i="19"/>
  <c r="C27" i="19"/>
  <c r="C26" i="19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07" i="19"/>
  <c r="M23" i="19"/>
  <c r="M21" i="19"/>
  <c r="L6" i="19" l="1"/>
  <c r="L7" i="19" s="1"/>
  <c r="L8" i="19" s="1"/>
  <c r="L9" i="19" s="1"/>
  <c r="L10" i="19" s="1"/>
  <c r="L11" i="19" s="1"/>
  <c r="L12" i="19" s="1"/>
  <c r="L13" i="19" s="1"/>
  <c r="L14" i="19" s="1"/>
  <c r="L15" i="19" s="1"/>
  <c r="L16" i="19" s="1"/>
  <c r="C6" i="19"/>
  <c r="C7" i="19"/>
  <c r="C8" i="19"/>
  <c r="C9" i="19"/>
  <c r="C10" i="19"/>
  <c r="C11" i="19"/>
  <c r="C12" i="19"/>
  <c r="C102" i="19"/>
  <c r="C103" i="19"/>
  <c r="C104" i="19"/>
  <c r="C105" i="19"/>
  <c r="C106" i="19"/>
  <c r="C108" i="19"/>
  <c r="C5" i="19"/>
  <c r="B13" i="11" l="1"/>
  <c r="B11" i="11"/>
  <c r="B12" i="11" s="1"/>
  <c r="C5" i="4" l="1"/>
  <c r="C7" i="4" s="1"/>
  <c r="C8" i="4" s="1"/>
  <c r="C9" i="4" s="1"/>
  <c r="C10" i="4" s="1"/>
</calcChain>
</file>

<file path=xl/connections.xml><?xml version="1.0" encoding="utf-8"?>
<connections xmlns="http://schemas.openxmlformats.org/spreadsheetml/2006/main">
  <connection id="1" name="error_codes" type="6" refreshedVersion="5" background="1" refreshOnLoad="1" saveData="1">
    <textPr codePage="850" sourceFile="D:\PROJECTS\01_GIT_REPOS\FRA_Sensor_platform\3-FW_SW\2-SW_log_PC\1-LabVIEW_app\error_codes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<sst xmlns="http://schemas.openxmlformats.org/spreadsheetml/2006/main" count="1676" uniqueCount="777">
  <si>
    <t>ETH*</t>
  </si>
  <si>
    <t>name</t>
  </si>
  <si>
    <t>cable</t>
  </si>
  <si>
    <t>ESP32</t>
  </si>
  <si>
    <t>Huzzah</t>
  </si>
  <si>
    <t>meas on</t>
  </si>
  <si>
    <t>huzzah</t>
  </si>
  <si>
    <t>pin</t>
  </si>
  <si>
    <t>VSPI</t>
  </si>
  <si>
    <t>IO</t>
  </si>
  <si>
    <t>cables</t>
  </si>
  <si>
    <t>CS</t>
  </si>
  <si>
    <t>y-purple</t>
  </si>
  <si>
    <t>IO5</t>
  </si>
  <si>
    <t>SCK</t>
  </si>
  <si>
    <t>MOSI</t>
  </si>
  <si>
    <t>y-grey</t>
  </si>
  <si>
    <t>IO23</t>
  </si>
  <si>
    <t>highZ?CS</t>
  </si>
  <si>
    <t>MISO</t>
  </si>
  <si>
    <t>y-white</t>
  </si>
  <si>
    <t>IO19</t>
  </si>
  <si>
    <t>highZ?MISO</t>
  </si>
  <si>
    <t>grey</t>
  </si>
  <si>
    <t>IO18</t>
  </si>
  <si>
    <t>GND</t>
  </si>
  <si>
    <t>white</t>
  </si>
  <si>
    <t>5V</t>
  </si>
  <si>
    <t>purple</t>
  </si>
  <si>
    <t>USB</t>
  </si>
  <si>
    <t>*Deek-robot</t>
  </si>
  <si>
    <t>NANO Ethernet Shield V1.0</t>
  </si>
  <si>
    <t>datasheet</t>
  </si>
  <si>
    <t>ESP marking</t>
  </si>
  <si>
    <t>MOSI/18</t>
  </si>
  <si>
    <t>MISO/19</t>
  </si>
  <si>
    <t>SCK/5</t>
  </si>
  <si>
    <t>SDA/23</t>
  </si>
  <si>
    <t>ETH DEEK</t>
  </si>
  <si>
    <t>pin conn</t>
  </si>
  <si>
    <t>JLINK</t>
  </si>
  <si>
    <t>color</t>
  </si>
  <si>
    <t>signal</t>
  </si>
  <si>
    <t>Vcc</t>
  </si>
  <si>
    <t>red</t>
  </si>
  <si>
    <t>3V</t>
  </si>
  <si>
    <t>black</t>
  </si>
  <si>
    <t>TDI</t>
  </si>
  <si>
    <t>IO12</t>
  </si>
  <si>
    <t>TMS</t>
  </si>
  <si>
    <t>IO14</t>
  </si>
  <si>
    <t>TCK</t>
  </si>
  <si>
    <t>IO13</t>
  </si>
  <si>
    <t>TDO</t>
  </si>
  <si>
    <t>blue</t>
  </si>
  <si>
    <t>IO15</t>
  </si>
  <si>
    <t>nRST</t>
  </si>
  <si>
    <t>green</t>
  </si>
  <si>
    <t>EN</t>
  </si>
  <si>
    <t>RST</t>
  </si>
  <si>
    <t>aligned with&gt;</t>
  </si>
  <si>
    <t>esp docs:</t>
  </si>
  <si>
    <t xml:space="preserve"> </t>
  </si>
  <si>
    <t>ESP32 Pin</t>
  </si>
  <si>
    <t>JTAG Signal</t>
  </si>
  <si>
    <t>CHIP_PU</t>
  </si>
  <si>
    <t>TRST_N</t>
  </si>
  <si>
    <t>MTDO / GPIO15</t>
  </si>
  <si>
    <t>MTDI / GPIO12</t>
  </si>
  <si>
    <t>MTCK / GPIO13</t>
  </si>
  <si>
    <t>MTMS / GPIO14</t>
  </si>
  <si>
    <t>https://docs.espressif.com/projects/esp-idf/en/latest/api-guides/jtag-debugging/configure-other-jtag.html</t>
  </si>
  <si>
    <t>nTRST</t>
  </si>
  <si>
    <t>color 2</t>
  </si>
  <si>
    <t>brown</t>
  </si>
  <si>
    <t xml:space="preserve">red </t>
  </si>
  <si>
    <t>maroon</t>
  </si>
  <si>
    <t>Total memory</t>
  </si>
  <si>
    <t xml:space="preserve">One sensor </t>
  </si>
  <si>
    <t>Bytes</t>
  </si>
  <si>
    <t>qty</t>
  </si>
  <si>
    <t>Sensors</t>
  </si>
  <si>
    <t>period</t>
  </si>
  <si>
    <t>s</t>
  </si>
  <si>
    <t>Lasts for</t>
  </si>
  <si>
    <t>h</t>
  </si>
  <si>
    <t>d</t>
  </si>
  <si>
    <t>y</t>
  </si>
  <si>
    <t>2GB SD card</t>
  </si>
  <si>
    <t>bytes</t>
  </si>
  <si>
    <t>Buffer ENC28J60</t>
  </si>
  <si>
    <t>B</t>
  </si>
  <si>
    <t>Ethernet max packet size</t>
  </si>
  <si>
    <t>UDP message size max</t>
  </si>
  <si>
    <t>Reasonable safe max UDP message size</t>
  </si>
  <si>
    <t>UDP datagram definition</t>
  </si>
  <si>
    <t>Byte order</t>
  </si>
  <si>
    <t>Saved data</t>
  </si>
  <si>
    <t>Representation</t>
  </si>
  <si>
    <t>uint_16</t>
  </si>
  <si>
    <t>Message type</t>
  </si>
  <si>
    <t>uint_8</t>
  </si>
  <si>
    <t>EOP</t>
  </si>
  <si>
    <t>uint_32</t>
  </si>
  <si>
    <t>MEASUREMENT SAMPLE</t>
  </si>
  <si>
    <t>Byte</t>
  </si>
  <si>
    <t>Value</t>
  </si>
  <si>
    <t>ACKNOWLEDGEMENT</t>
  </si>
  <si>
    <t>X</t>
  </si>
  <si>
    <t>Analog input for sensor detection</t>
  </si>
  <si>
    <t>Inputs for setting up IP address - digital - JTAG pins</t>
  </si>
  <si>
    <t>Baseline test for connected sensors</t>
  </si>
  <si>
    <t>Start trigger</t>
  </si>
  <si>
    <t>Stop trigger</t>
  </si>
  <si>
    <t>Pause trigger</t>
  </si>
  <si>
    <t>Error</t>
  </si>
  <si>
    <t>Sensors detected</t>
  </si>
  <si>
    <t>Built-in Test trigger</t>
  </si>
  <si>
    <t>ERROR CODE</t>
  </si>
  <si>
    <t>ERROR</t>
  </si>
  <si>
    <t>SENSORS DETECTED</t>
  </si>
  <si>
    <t>table</t>
  </si>
  <si>
    <t>OK</t>
  </si>
  <si>
    <t>NOK</t>
  </si>
  <si>
    <t>Read One Shot</t>
  </si>
  <si>
    <t>SENSOR 1 TYPE</t>
  </si>
  <si>
    <t>SENSOR 1 OK</t>
  </si>
  <si>
    <t>SENSOR 2 TYPE</t>
  </si>
  <si>
    <t>SENSOR 2 OK</t>
  </si>
  <si>
    <t>…</t>
  </si>
  <si>
    <t>SENSOR 12 TYPE</t>
  </si>
  <si>
    <t>SENSOR 12 OK</t>
  </si>
  <si>
    <t>0xFF</t>
  </si>
  <si>
    <t>0X00</t>
  </si>
  <si>
    <t>Retrieve One measurement</t>
  </si>
  <si>
    <t>Sending UDP</t>
  </si>
  <si>
    <t>time [us]</t>
  </si>
  <si>
    <t>ESP32 pin</t>
  </si>
  <si>
    <t>3v3</t>
  </si>
  <si>
    <t>orange</t>
  </si>
  <si>
    <t>SD_CS</t>
  </si>
  <si>
    <t>yellow</t>
  </si>
  <si>
    <t>CS_ETH</t>
  </si>
  <si>
    <t>ETH_RST</t>
  </si>
  <si>
    <t>Writing to SD</t>
  </si>
  <si>
    <t>SD logging</t>
  </si>
  <si>
    <t>20MHz SPI</t>
  </si>
  <si>
    <t>ANNOUNCEMENT announcing sensor unit is on network</t>
  </si>
  <si>
    <t>6..7</t>
  </si>
  <si>
    <t>datagram order MSB</t>
  </si>
  <si>
    <t>datagram order</t>
  </si>
  <si>
    <t>datagram order LSB</t>
  </si>
  <si>
    <t>set up DHCP on router</t>
  </si>
  <si>
    <t>connect Unit with ethernet cable</t>
  </si>
  <si>
    <t>turn on power to unit</t>
  </si>
  <si>
    <t>watch DHCP client list in router configuration</t>
  </si>
  <si>
    <t>Set up IP address reservation for the sensor unit</t>
  </si>
  <si>
    <t>power cycle or reset unit</t>
  </si>
  <si>
    <t>open labview app</t>
  </si>
  <si>
    <t>Unit should appear in acknowledged clients</t>
  </si>
  <si>
    <t>I2C ADC</t>
  </si>
  <si>
    <t>I2C speed</t>
  </si>
  <si>
    <t>kHz</t>
  </si>
  <si>
    <t>time to get one bit</t>
  </si>
  <si>
    <t>2 bytes / one reading</t>
  </si>
  <si>
    <t>ms</t>
  </si>
  <si>
    <t>9 sensors</t>
  </si>
  <si>
    <t>cancelled - set in DHCP server</t>
  </si>
  <si>
    <t>cancelled - would have to be switched to each sensor port</t>
  </si>
  <si>
    <t>SPI ETH ESP32'!A1</t>
  </si>
  <si>
    <t>Pinout ETH DEEK'!A1</t>
  </si>
  <si>
    <t>JTAG conn'!A1</t>
  </si>
  <si>
    <t>SD usage'!A1</t>
  </si>
  <si>
    <t>UDP packets'!A1</t>
  </si>
  <si>
    <t>UDP datagram definition'!A1</t>
  </si>
  <si>
    <t>Message Types'!A1</t>
  </si>
  <si>
    <t>ADC selection'!A1</t>
  </si>
  <si>
    <t>Time budget'!A1</t>
  </si>
  <si>
    <t>TO DO'!A1</t>
  </si>
  <si>
    <t>System setup'!A1</t>
  </si>
  <si>
    <t>Sensors Example datasheet val.'!A1</t>
  </si>
  <si>
    <t>Contents!A1</t>
  </si>
  <si>
    <t>PN</t>
  </si>
  <si>
    <t>Power</t>
  </si>
  <si>
    <t>Voltage</t>
  </si>
  <si>
    <t>Ouptut</t>
  </si>
  <si>
    <t>Size</t>
  </si>
  <si>
    <t>Connection method</t>
  </si>
  <si>
    <t>32x20x14</t>
  </si>
  <si>
    <t>190mA, avg 34mA</t>
  </si>
  <si>
    <t>UART, I2C, PWM, DAC</t>
  </si>
  <si>
    <t>AA</t>
  </si>
  <si>
    <t>get exact part numebr</t>
  </si>
  <si>
    <t>Property measured</t>
  </si>
  <si>
    <t>CO2 0-10k ppm</t>
  </si>
  <si>
    <t>Precision</t>
  </si>
  <si>
    <t>iSweek NO-AE</t>
  </si>
  <si>
    <t>Nitride Oxide 0+5k ppm</t>
  </si>
  <si>
    <t>0.3 V bias</t>
  </si>
  <si>
    <t>Reference, Worker, counter</t>
  </si>
  <si>
    <t>get application note</t>
  </si>
  <si>
    <t>20x20x16</t>
  </si>
  <si>
    <t>Spec Sensors 110-501</t>
  </si>
  <si>
    <t>20x20x3</t>
  </si>
  <si>
    <t>NO2 0-20ppm</t>
  </si>
  <si>
    <t>50uW</t>
  </si>
  <si>
    <t>3 pin header 2+2+2 contacts 2mm pitch</t>
  </si>
  <si>
    <t>2x Pin header 4 + 5 contacts, 2.54 pitch</t>
  </si>
  <si>
    <t>https://eu.mouser.com/ProductDetail/3M-Electronic-Solutions-Division/950502-6102-AR?qs=mk7%252BW39U1H95%252BMM5da7bdg%3D%3D</t>
  </si>
  <si>
    <t>iSweek HCL-A1</t>
  </si>
  <si>
    <t>20ppb, 3% reading</t>
  </si>
  <si>
    <t>.+-50ppm, 3% reading</t>
  </si>
  <si>
    <t>HCl 0-100ppm</t>
  </si>
  <si>
    <t>not required bias</t>
  </si>
  <si>
    <t>iSweek HCN-A1</t>
  </si>
  <si>
    <t>HCN 0-100ppm</t>
  </si>
  <si>
    <t>iSweek O2-M2</t>
  </si>
  <si>
    <t>Figaro TGS 2444</t>
  </si>
  <si>
    <t>x uA Reference, Worker, counter</t>
  </si>
  <si>
    <t>0-12 uA Reference, Worker, counter</t>
  </si>
  <si>
    <t>0-10 uA Reference, Worker, counter</t>
  </si>
  <si>
    <t>0-120 uA +Ve,-Ve</t>
  </si>
  <si>
    <t>Ammonia</t>
  </si>
  <si>
    <t>O2</t>
  </si>
  <si>
    <t>5V switched, timed</t>
  </si>
  <si>
    <t>mean 56mW, 300mA instant</t>
  </si>
  <si>
    <t>resistor div</t>
  </si>
  <si>
    <t>9x9x7.8</t>
  </si>
  <si>
    <t>Figaro TGS 2602</t>
  </si>
  <si>
    <t>VOCs</t>
  </si>
  <si>
    <t>280 mW</t>
  </si>
  <si>
    <t>resistor div, + transistor</t>
  </si>
  <si>
    <t>Figaro TGS 5042</t>
  </si>
  <si>
    <t>To solder only</t>
  </si>
  <si>
    <t>CO 0-10k ppm</t>
  </si>
  <si>
    <t>0-24uA, ext opamp needed</t>
  </si>
  <si>
    <t>Figaro TGS 6812</t>
  </si>
  <si>
    <t>H, Methane 0-25k ppm</t>
  </si>
  <si>
    <t>3V +-0.1V</t>
  </si>
  <si>
    <t>resistor whatstone bridge compensator detector</t>
  </si>
  <si>
    <t>12x12x9</t>
  </si>
  <si>
    <t>49x10x10</t>
  </si>
  <si>
    <t>Pins to solder 0.8 dia</t>
  </si>
  <si>
    <t>Note</t>
  </si>
  <si>
    <t>Interface</t>
  </si>
  <si>
    <t>iSweek  HVAC - ZG09</t>
  </si>
  <si>
    <t>I2C (5v or 3v3?), cables or custom board</t>
  </si>
  <si>
    <t>RWC board</t>
  </si>
  <si>
    <t>Figaro TGS 2611</t>
  </si>
  <si>
    <t>4P50 CiTipeL</t>
  </si>
  <si>
    <t>FigaroPCB, Pins to solder 0.55 dia</t>
  </si>
  <si>
    <t>GasPCB1, Pins 1.5mm dia</t>
  </si>
  <si>
    <t>FigaroPCB1, Pins to solder 0.55 dia</t>
  </si>
  <si>
    <t>4P50PCB,Pins 1.5mm</t>
  </si>
  <si>
    <t xml:space="preserve">Reference, Worker, Counter? </t>
  </si>
  <si>
    <t>find alternative</t>
  </si>
  <si>
    <t>change SHCP timeout from 1s back to 60s</t>
  </si>
  <si>
    <t>SD status flag to UDP</t>
  </si>
  <si>
    <t>IssueTracking!A1</t>
  </si>
  <si>
    <t>add I2C address selecting resistors in case some sensor has conflicting address</t>
  </si>
  <si>
    <t>IO expander, add 0R to A2 input to VCC and GND. This will enable using PCA9539 too</t>
  </si>
  <si>
    <t>NXP datasheet: The PCA9539; PCA9539R is identical to the PCA9555 except for the removal of the internal I/O pull-up resistor which greatly reduces power consumption when the I/Os are held LOW, replacement of A2 with RESET and a different address range</t>
  </si>
  <si>
    <t>ERROR CODES</t>
  </si>
  <si>
    <t>Error Codes'!A1</t>
  </si>
  <si>
    <t>failed to initalize Ethernet controller</t>
  </si>
  <si>
    <t>failed to obtaiin IP from DHCP server</t>
  </si>
  <si>
    <t>SD full card resolution</t>
  </si>
  <si>
    <t>failed to initalize I2C bus</t>
  </si>
  <si>
    <t xml:space="preserve">failed to initalize IO Expander </t>
  </si>
  <si>
    <t>failed to initalize ADC</t>
  </si>
  <si>
    <t>No error</t>
  </si>
  <si>
    <t>error in setting time. time is from the past. time not set. continuing</t>
  </si>
  <si>
    <t>DO NOT ADD ERROR CODES TO THIS LIST, EDIT SOURCE FILE HERE:</t>
  </si>
  <si>
    <t>D:\PROJECTS\01_GIT_REPOS\FRA_Sensor_platform\3-FW_SW\2-SW_log_PC\1-LabVIEW_app</t>
  </si>
  <si>
    <t>sender number</t>
  </si>
  <si>
    <t>Sensor power control</t>
  </si>
  <si>
    <t>Set period</t>
  </si>
  <si>
    <t>timestamp epoch time or sample order MSB</t>
  </si>
  <si>
    <t>timestamp epoch time or sample order LSB</t>
  </si>
  <si>
    <t xml:space="preserve">timestamp epoch time or sample order </t>
  </si>
  <si>
    <t>Sensor unit to Master</t>
  </si>
  <si>
    <t>Master to Sensor unit</t>
  </si>
  <si>
    <t>Command / ACK</t>
  </si>
  <si>
    <t>uint8_t</t>
  </si>
  <si>
    <t>Unit/sender number - last byte of IP</t>
  </si>
  <si>
    <t>0xFFFF</t>
  </si>
  <si>
    <t>Power to all sensors on</t>
  </si>
  <si>
    <t>0x0000</t>
  </si>
  <si>
    <t>Power to all sensors off</t>
  </si>
  <si>
    <t>5..6</t>
  </si>
  <si>
    <t>Sensor power report</t>
  </si>
  <si>
    <t>Inverted logic levels on IO expander pins</t>
  </si>
  <si>
    <t>Sensor unit</t>
  </si>
  <si>
    <t>Master</t>
  </si>
  <si>
    <t>Sensor unit enters IDLE state</t>
  </si>
  <si>
    <t>Master logs error</t>
  </si>
  <si>
    <t>Master checks against requested setting</t>
  </si>
  <si>
    <t>Labview error codes</t>
  </si>
  <si>
    <t>Power setting not accepted. Invalid input</t>
  </si>
  <si>
    <t>RESET unit</t>
  </si>
  <si>
    <t>IC9 heat pad unmask</t>
  </si>
  <si>
    <t>10k is 1206 - fix in BOM to 0602</t>
  </si>
  <si>
    <t>R46 replace with ferite bead</t>
  </si>
  <si>
    <t>cp2101 edit footprint, corner out</t>
  </si>
  <si>
    <t>remove SD connector</t>
  </si>
  <si>
    <t>rotate microSD connector 180 deg.</t>
  </si>
  <si>
    <t>blocking cap to IO expander?</t>
  </si>
  <si>
    <t>Note: all combinations of bits. Ordered as on IO expander. Log 1 will turn the output of IO exp LOW, thus voltage output on sensor port HIGH. Byte 5 controls port 1, byte 6 is for port 0.</t>
  </si>
  <si>
    <t>Error message not received in some cases</t>
  </si>
  <si>
    <t>R1. R2 10k? Test on 2nd board</t>
  </si>
  <si>
    <t>C10 10u/25V place</t>
  </si>
  <si>
    <t>C17 place 10u 10v normal</t>
  </si>
  <si>
    <t>pca9555 check packageing</t>
  </si>
  <si>
    <t>change pca9555 so also the other one can be used</t>
  </si>
  <si>
    <t>SMPS  inductors  to SRP5030CA-1R5M</t>
  </si>
  <si>
    <t xml:space="preserve">Connector power </t>
  </si>
  <si>
    <t>https://www.mouser.com/ProductDetail/CUI/PJ-059A?qs=sGAEpiMZZMtnOp%252BbbqA009lE0K0K%252BPZGgL2j%2Fo1XCBQtBpzQrCB9dQ%3D%3D</t>
  </si>
  <si>
    <t>5V jumper to ethernet port</t>
  </si>
  <si>
    <t>SD card communication fail. continuing with no logging to SD card</t>
  </si>
  <si>
    <t>IO expander output does not match the setting - power setting not valid</t>
  </si>
  <si>
    <t>done</t>
  </si>
  <si>
    <t>done, was never there</t>
  </si>
  <si>
    <t>not done, more work</t>
  </si>
  <si>
    <t>done  - due to interrupt, packetloop must run also on sending</t>
  </si>
  <si>
    <t>not changed, to be safe</t>
  </si>
  <si>
    <t>cross check BOMsafter export</t>
  </si>
  <si>
    <t>BOARD V1 FEEDBACK&gt;</t>
  </si>
  <si>
    <t>FW&gt;</t>
  </si>
  <si>
    <t>add error code array instead of one value</t>
  </si>
  <si>
    <t>LED changed to header</t>
  </si>
  <si>
    <t>debug error code sending from multiple units</t>
  </si>
  <si>
    <t>C16 change to 100n, avoid loading fw problems</t>
  </si>
  <si>
    <t>10u tested, works but 100n better for CP2102</t>
  </si>
  <si>
    <t>reset was not performed properly, software reset was not wquivalent to HW reset</t>
  </si>
  <si>
    <t xml:space="preserve">power report not received from 24 </t>
  </si>
  <si>
    <t>(udp) &amp;&amp; ((udp.dstport == 1111)||(udp.dstport == 1100)||(udp.dstport == 1024)||(udp.dstport == 65500)||(udp.dstport == 65511))</t>
  </si>
  <si>
    <t>Wireshark Filter</t>
  </si>
  <si>
    <t>Unit resets</t>
  </si>
  <si>
    <t>7..8</t>
  </si>
  <si>
    <t>10..11</t>
  </si>
  <si>
    <t>range A3.3</t>
  </si>
  <si>
    <t>data raw A3.3</t>
  </si>
  <si>
    <t>data raw A1.2</t>
  </si>
  <si>
    <t>40..41</t>
  </si>
  <si>
    <t>data raw A1.0 MSB:LSB</t>
  </si>
  <si>
    <t>byte</t>
  </si>
  <si>
    <t>ADC</t>
  </si>
  <si>
    <t>CH</t>
  </si>
  <si>
    <t>13..14</t>
  </si>
  <si>
    <t>16..17</t>
  </si>
  <si>
    <t>19..20</t>
  </si>
  <si>
    <t>22..23</t>
  </si>
  <si>
    <t>range A1.2</t>
  </si>
  <si>
    <t>data raw A1.2 MSB:LSB</t>
  </si>
  <si>
    <t>range A1.3</t>
  </si>
  <si>
    <t>data raw A1.3</t>
  </si>
  <si>
    <t>range A2.0</t>
  </si>
  <si>
    <t>data raw A2.0 MSB:LSB</t>
  </si>
  <si>
    <t>range A2.1</t>
  </si>
  <si>
    <t>data raw A2.1</t>
  </si>
  <si>
    <t>failed to read IO expander status - power settings not valid</t>
  </si>
  <si>
    <t>test error reporting - NO ACTUAL ERROR</t>
  </si>
  <si>
    <t>ADC1 readout failed - timeout</t>
  </si>
  <si>
    <t>ADC2 readout failed - timeout</t>
  </si>
  <si>
    <t>ADC3 readout failed - timeout</t>
  </si>
  <si>
    <t>timeout needed to be longer</t>
  </si>
  <si>
    <t>System&gt;</t>
  </si>
  <si>
    <t>Power critical Units from separate power supplies, in case they short they will not take more units with them - inform</t>
  </si>
  <si>
    <t>add resettable fuse on the input</t>
  </si>
  <si>
    <t>cancelled</t>
  </si>
  <si>
    <t>Trigger measurement ON</t>
  </si>
  <si>
    <t>Stop measurement</t>
  </si>
  <si>
    <t>Start measurement trigger</t>
  </si>
  <si>
    <t>Stop measurement trigger</t>
  </si>
  <si>
    <t>range A1.1 / type</t>
  </si>
  <si>
    <t>end character</t>
  </si>
  <si>
    <t>sensor type</t>
  </si>
  <si>
    <t>range A1.0 / sensor type</t>
  </si>
  <si>
    <t>end</t>
  </si>
  <si>
    <t>Data MSB:LSB</t>
  </si>
  <si>
    <t>43..44</t>
  </si>
  <si>
    <t>to be derived from code block diagram</t>
  </si>
  <si>
    <t>Measurement sample datagram definition</t>
  </si>
  <si>
    <t>Unit is sending the data in following format</t>
  </si>
  <si>
    <t>Meaning</t>
  </si>
  <si>
    <t>Example 1</t>
  </si>
  <si>
    <t>Example 1 meaning</t>
  </si>
  <si>
    <t>Sample number 5</t>
  </si>
  <si>
    <t>payload is measurement sample if ==2</t>
  </si>
  <si>
    <r>
      <t>see table</t>
    </r>
    <r>
      <rPr>
        <b/>
        <sz val="11"/>
        <color theme="1"/>
        <rFont val="Calibri"/>
        <family val="2"/>
        <scheme val="minor"/>
      </rPr>
      <t xml:space="preserve"> sensor type. </t>
    </r>
  </si>
  <si>
    <t>Analog input A1.0</t>
  </si>
  <si>
    <t>sender address  (last byte of IP addr)</t>
  </si>
  <si>
    <t>sender address is 13</t>
  </si>
  <si>
    <t>sending measurement sample</t>
  </si>
  <si>
    <t>Data from one sensor</t>
  </si>
  <si>
    <t>0x01</t>
  </si>
  <si>
    <t>0xA1</t>
  </si>
  <si>
    <t>Sensor reading, MSB:LSB</t>
  </si>
  <si>
    <t>Analog input A1.1</t>
  </si>
  <si>
    <t>0xA0</t>
  </si>
  <si>
    <t>end of data</t>
  </si>
  <si>
    <t>No meaning</t>
  </si>
  <si>
    <t>Sensor type table</t>
  </si>
  <si>
    <t xml:space="preserve">see table sensor type. </t>
  </si>
  <si>
    <t>Sensor type</t>
  </si>
  <si>
    <t>Conversion calculation</t>
  </si>
  <si>
    <t>Output units</t>
  </si>
  <si>
    <t>Sensor type value (DEC)</t>
  </si>
  <si>
    <t>Sensor type value (HEX)</t>
  </si>
  <si>
    <t>0.1875*X</t>
  </si>
  <si>
    <t>mV</t>
  </si>
  <si>
    <t>0.125*X</t>
  </si>
  <si>
    <t>0.0625*X</t>
  </si>
  <si>
    <t>0.03215*X</t>
  </si>
  <si>
    <t>0.015625*X</t>
  </si>
  <si>
    <t>0.007813*X</t>
  </si>
  <si>
    <t>ADC analog input 6.144V range</t>
  </si>
  <si>
    <t>ADC analog input 4.096V range</t>
  </si>
  <si>
    <t>ADC analog input 2.048V range</t>
  </si>
  <si>
    <t>ADC analog input 1.024V range</t>
  </si>
  <si>
    <t>ADC analog input 0.512V range</t>
  </si>
  <si>
    <t>ADC analog input 0.256V range</t>
  </si>
  <si>
    <t>Index in datagram</t>
  </si>
  <si>
    <t>AI port</t>
  </si>
  <si>
    <t>A1.0</t>
  </si>
  <si>
    <t>A1.1</t>
  </si>
  <si>
    <t>A1.2</t>
  </si>
  <si>
    <t>A1.3</t>
  </si>
  <si>
    <t>A2.0</t>
  </si>
  <si>
    <t>A2.1</t>
  </si>
  <si>
    <t>A2.2</t>
  </si>
  <si>
    <t>A2.3</t>
  </si>
  <si>
    <t>A3.0</t>
  </si>
  <si>
    <t>A3.1</t>
  </si>
  <si>
    <t>A3.2</t>
  </si>
  <si>
    <t>A3.3</t>
  </si>
  <si>
    <t>FF</t>
  </si>
  <si>
    <t>No sensor, indicates end of data</t>
  </si>
  <si>
    <t>Sample period in 0.1s units (1 is 100ms)</t>
  </si>
  <si>
    <t>Meas_sample!A1</t>
  </si>
  <si>
    <t>LabVIEW data log'!A1</t>
  </si>
  <si>
    <t>Sensor Type table'!A1</t>
  </si>
  <si>
    <t>Loggging data definition</t>
  </si>
  <si>
    <t>Data are found in VI path under folder DATA</t>
  </si>
  <si>
    <t>Column decriptions</t>
  </si>
  <si>
    <t>Time</t>
  </si>
  <si>
    <t>Unit the data was received from</t>
  </si>
  <si>
    <t>Sample number</t>
  </si>
  <si>
    <t>Sensor type1</t>
  </si>
  <si>
    <t>Data1</t>
  </si>
  <si>
    <t>Sensor type2</t>
  </si>
  <si>
    <t>Data2</t>
  </si>
  <si>
    <t>Sensor type3</t>
  </si>
  <si>
    <t>Data3</t>
  </si>
  <si>
    <t>Sensor type4</t>
  </si>
  <si>
    <t>Data4</t>
  </si>
  <si>
    <t>Sensor type5</t>
  </si>
  <si>
    <t>Data5</t>
  </si>
  <si>
    <t>Sensor type6</t>
  </si>
  <si>
    <t>Data6</t>
  </si>
  <si>
    <t>Sensor type7</t>
  </si>
  <si>
    <t>Data7</t>
  </si>
  <si>
    <t>Sensor type8</t>
  </si>
  <si>
    <t>Data8</t>
  </si>
  <si>
    <t>..</t>
  </si>
  <si>
    <t>Alive units display in Labview</t>
  </si>
  <si>
    <t>init all units with 5V ON</t>
  </si>
  <si>
    <t>Button hold trigger</t>
  </si>
  <si>
    <t>Button long hold reset</t>
  </si>
  <si>
    <t>Light sensor integration</t>
  </si>
  <si>
    <t>Humidity and temperature sensor integration</t>
  </si>
  <si>
    <t>set time on each measurement start, or on each received dtg</t>
  </si>
  <si>
    <t>Button and LED UI table'!A1</t>
  </si>
  <si>
    <t>OFF</t>
  </si>
  <si>
    <t>initalizing unit after power-up</t>
  </si>
  <si>
    <t>LED state</t>
  </si>
  <si>
    <t>main loop not responding</t>
  </si>
  <si>
    <t>Duty cycle [%]</t>
  </si>
  <si>
    <t>Period [s]</t>
  </si>
  <si>
    <t>Waiting for DHCP (max 60 seconds)</t>
  </si>
  <si>
    <t>Blinking</t>
  </si>
  <si>
    <t>Measuring</t>
  </si>
  <si>
    <t>measurement period</t>
  </si>
  <si>
    <t>see note</t>
  </si>
  <si>
    <t>LED off for about 40ms of measurement period - wink every meas. period</t>
  </si>
  <si>
    <t>Light reading gain 1</t>
  </si>
  <si>
    <t>Light reading gain 2</t>
  </si>
  <si>
    <t>Light reading gain 1/8</t>
  </si>
  <si>
    <t>Light reading gain 1/4</t>
  </si>
  <si>
    <t>Lux</t>
  </si>
  <si>
    <t>see VEML7700 datasheet</t>
  </si>
  <si>
    <t>X*0.0576</t>
  </si>
  <si>
    <t>X/2*0.0576</t>
  </si>
  <si>
    <t>X*4*0.0576</t>
  </si>
  <si>
    <t>X*8*0.0576</t>
  </si>
  <si>
    <t>Rhcode</t>
  </si>
  <si>
    <t>RH</t>
  </si>
  <si>
    <t>Temp code</t>
  </si>
  <si>
    <t>Temperature reading</t>
  </si>
  <si>
    <t>Relative Humidity reading</t>
  </si>
  <si>
    <t>see Si7021 datasheet</t>
  </si>
  <si>
    <t>°C</t>
  </si>
  <si>
    <t>%RH</t>
  </si>
  <si>
    <t>((125*X)/65536)-6</t>
  </si>
  <si>
    <t>((175.72*X)/65536)-46.85</t>
  </si>
  <si>
    <t>Name array for Labview charts legend</t>
  </si>
  <si>
    <t>Autorange Analog inputs</t>
  </si>
  <si>
    <t>FE</t>
  </si>
  <si>
    <t>FD</t>
  </si>
  <si>
    <t>F0</t>
  </si>
  <si>
    <t>F1</t>
  </si>
  <si>
    <t>F2</t>
  </si>
  <si>
    <t>F3</t>
  </si>
  <si>
    <t>A0</t>
  </si>
  <si>
    <t>A1</t>
  </si>
  <si>
    <t>A2</t>
  </si>
  <si>
    <t>note: to get second digit of hex number (range) use remainder after division by 16</t>
  </si>
  <si>
    <t>Analog input</t>
  </si>
  <si>
    <t>input may be determined also by index in datagram</t>
  </si>
  <si>
    <t>Safer is to use the sensor type value</t>
  </si>
  <si>
    <t>A3</t>
  </si>
  <si>
    <t>A4</t>
  </si>
  <si>
    <t>A5</t>
  </si>
  <si>
    <t>A6</t>
  </si>
  <si>
    <t>A7</t>
  </si>
  <si>
    <t>B0</t>
  </si>
  <si>
    <t>B1</t>
  </si>
  <si>
    <t>B2</t>
  </si>
  <si>
    <t>B3</t>
  </si>
  <si>
    <t>B4</t>
  </si>
  <si>
    <t>B5</t>
  </si>
  <si>
    <t>B6</t>
  </si>
  <si>
    <t>B7</t>
  </si>
  <si>
    <t>Free for additional sensors</t>
  </si>
  <si>
    <t>Labview, second trigger opens another file, does not close old one. - resolve</t>
  </si>
  <si>
    <t>Sensor configuration set</t>
  </si>
  <si>
    <t>Sensor configuration set'!A1</t>
  </si>
  <si>
    <t>This table defines what configuration should be used on the start of the measurement with given parameter.</t>
  </si>
  <si>
    <t>Sensor configuration set command</t>
  </si>
  <si>
    <t>14k</t>
  </si>
  <si>
    <t>INT_Z</t>
  </si>
  <si>
    <t>120k</t>
  </si>
  <si>
    <t>NO-AE</t>
  </si>
  <si>
    <t>3.5k</t>
  </si>
  <si>
    <t>VDD</t>
  </si>
  <si>
    <t>NO2-AE</t>
  </si>
  <si>
    <t>35k</t>
  </si>
  <si>
    <t>HCN-A1</t>
  </si>
  <si>
    <t>HCL-A1</t>
  </si>
  <si>
    <t>mV range</t>
  </si>
  <si>
    <t>scales</t>
  </si>
  <si>
    <t>low range switch</t>
  </si>
  <si>
    <t>high range switch</t>
  </si>
  <si>
    <t>switch to lower range</t>
  </si>
  <si>
    <t>switch to the highest range</t>
  </si>
  <si>
    <t>ADC autorange'!A1</t>
  </si>
  <si>
    <t>Sensor board&gt;</t>
  </si>
  <si>
    <t>Change comparator power to 5V not calm</t>
  </si>
  <si>
    <t>7k</t>
  </si>
  <si>
    <t>20%VDD</t>
  </si>
  <si>
    <t>TIACN</t>
  </si>
  <si>
    <t>REFCN</t>
  </si>
  <si>
    <t>MODECN</t>
  </si>
  <si>
    <t>0b00000000</t>
  </si>
  <si>
    <t>0b01000000</t>
  </si>
  <si>
    <t>Sensor reads int16 0x01A1 = decimal 417</t>
  </si>
  <si>
    <t>Sensor reads int16 0x01A0 = decimal 410</t>
  </si>
  <si>
    <t>Light temperature and humidity, change to unsigned saving</t>
  </si>
  <si>
    <t>int16</t>
  </si>
  <si>
    <t>uint16</t>
  </si>
  <si>
    <t>Data Representation in datagram</t>
  </si>
  <si>
    <t>not needed for Labview saved data or SD saved data (already converted do decimal)</t>
  </si>
  <si>
    <t>Add sampling period to SD file or time</t>
  </si>
  <si>
    <t>Button press registered, pressed 1 to 4s, measurement will start on button release</t>
  </si>
  <si>
    <t>Button press registered, pressed 4 - 15s, Unit will restart on release or after 15s from press</t>
  </si>
  <si>
    <t>heat relief on LMP91000</t>
  </si>
  <si>
    <t>00</t>
  </si>
  <si>
    <t>01</t>
  </si>
  <si>
    <t>https://www.zimmerpeacocktech.com/knowledge-base/faq/lmp91000-trouble-shooting/</t>
  </si>
  <si>
    <t>Bias%</t>
  </si>
  <si>
    <t>RefSource</t>
  </si>
  <si>
    <t>Int</t>
  </si>
  <si>
    <t>0b0001 0111</t>
  </si>
  <si>
    <t>0b00000011</t>
  </si>
  <si>
    <t>changing</t>
  </si>
  <si>
    <t>0b00010111</t>
  </si>
  <si>
    <t>100ohm</t>
  </si>
  <si>
    <t>3-lead amperometric</t>
  </si>
  <si>
    <t>0b0001 1000</t>
  </si>
  <si>
    <t>0b0001 1001</t>
  </si>
  <si>
    <t>0b0001 1010</t>
  </si>
  <si>
    <t>0b0001 1011</t>
  </si>
  <si>
    <t>0x19</t>
  </si>
  <si>
    <t>0x17</t>
  </si>
  <si>
    <t>0x18</t>
  </si>
  <si>
    <t>0x1A</t>
  </si>
  <si>
    <t>0x1B</t>
  </si>
  <si>
    <t>0x1D</t>
  </si>
  <si>
    <t>0b0001 1101</t>
  </si>
  <si>
    <t>0x11</t>
  </si>
  <si>
    <t>0x14</t>
  </si>
  <si>
    <t>diff 20-12</t>
  </si>
  <si>
    <t>mV/%</t>
  </si>
  <si>
    <t>20% bias</t>
  </si>
  <si>
    <t>V</t>
  </si>
  <si>
    <t>R RE,CE to WE</t>
  </si>
  <si>
    <t>ohm</t>
  </si>
  <si>
    <t>I_WE</t>
  </si>
  <si>
    <t>A</t>
  </si>
  <si>
    <t>uA</t>
  </si>
  <si>
    <t>R TIA gain</t>
  </si>
  <si>
    <t>Out volt</t>
  </si>
  <si>
    <t>board1 35k</t>
  </si>
  <si>
    <t>board2 35k</t>
  </si>
  <si>
    <t>board1 350k</t>
  </si>
  <si>
    <t>board2 350k</t>
  </si>
  <si>
    <t>TIA</t>
  </si>
  <si>
    <t>350k</t>
  </si>
  <si>
    <t>adjust range on ammonia sensor - is full range</t>
  </si>
  <si>
    <t>remove C 100n on A3.2 on all boards - for ammonia</t>
  </si>
  <si>
    <t>add RC to FET gate - avoid switching on 1ms pulse</t>
  </si>
  <si>
    <t>LMV611 fix footprint to SOT-32 or BOM to SC70</t>
  </si>
  <si>
    <t>done in BOM</t>
  </si>
  <si>
    <t>deleted from design</t>
  </si>
  <si>
    <t>re-export data for sensor board TGS2xxx, 1nF on low pass to FET</t>
  </si>
  <si>
    <t>done in new design</t>
  </si>
  <si>
    <t>Research FW loading tool</t>
  </si>
  <si>
    <t xml:space="preserve">I2C address of first ADC adjusted </t>
  </si>
  <si>
    <t>Issue</t>
  </si>
  <si>
    <t>Status</t>
  </si>
  <si>
    <t>LMP91000 not found, create error message</t>
  </si>
  <si>
    <t>custom value TIACN for A3.1</t>
  </si>
  <si>
    <t>custom value REFCN for A3.1</t>
  </si>
  <si>
    <t>custom value MODECN for A3.1</t>
  </si>
  <si>
    <t>Bit</t>
  </si>
  <si>
    <t>Use</t>
  </si>
  <si>
    <t>AMO</t>
  </si>
  <si>
    <t>ELCH[0]</t>
  </si>
  <si>
    <t>ELCH[1]</t>
  </si>
  <si>
    <t>ELCH[2]</t>
  </si>
  <si>
    <t>ELCH[3]</t>
  </si>
  <si>
    <t>RES</t>
  </si>
  <si>
    <t>ELCH[4:1]</t>
  </si>
  <si>
    <t>log. 1 turn on amonia sensor TGS2444 on A3.2. Period setting will be ignored and 250ms period will be used. Electrochemical sensor configuration on port A3.2 will be ignored.</t>
  </si>
  <si>
    <t>Reserved for future features</t>
  </si>
  <si>
    <t>0 value will not configure any LMP91000 on any port. Values 1-15 specify configuration set accodring to table below. LMP91000 will be configured on measurement start. Port A3.1 is configured separately by custom values.</t>
  </si>
  <si>
    <t>Electrochemical sensor configuration sets:</t>
  </si>
  <si>
    <t>ELCH setting</t>
  </si>
  <si>
    <t>other inputs are not configured for electrochemical</t>
  </si>
  <si>
    <t>custom values as entered in main VI</t>
  </si>
  <si>
    <t>Input</t>
  </si>
  <si>
    <t>TGS5042/TGS5342</t>
  </si>
  <si>
    <t>Gain</t>
  </si>
  <si>
    <t>R load</t>
  </si>
  <si>
    <t>Ref source</t>
  </si>
  <si>
    <t>Internal Zero</t>
  </si>
  <si>
    <t>Bias Sign</t>
  </si>
  <si>
    <t>Bias</t>
  </si>
  <si>
    <t>OP mode</t>
  </si>
  <si>
    <t>Lookup table</t>
  </si>
  <si>
    <t>TIA gain</t>
  </si>
  <si>
    <t>000</t>
  </si>
  <si>
    <t>001</t>
  </si>
  <si>
    <t>010</t>
  </si>
  <si>
    <t>Ext.</t>
  </si>
  <si>
    <t>2.75k</t>
  </si>
  <si>
    <t>011</t>
  </si>
  <si>
    <t>111</t>
  </si>
  <si>
    <t>100</t>
  </si>
  <si>
    <t>101</t>
  </si>
  <si>
    <t>110</t>
  </si>
  <si>
    <t>10</t>
  </si>
  <si>
    <t>11</t>
  </si>
  <si>
    <t>10R</t>
  </si>
  <si>
    <t>33R</t>
  </si>
  <si>
    <t>50R</t>
  </si>
  <si>
    <t>100R</t>
  </si>
  <si>
    <t>0</t>
  </si>
  <si>
    <t>1</t>
  </si>
  <si>
    <t>VREF</t>
  </si>
  <si>
    <t>0b00011100</t>
  </si>
  <si>
    <t>Always write full 8 bits</t>
  </si>
  <si>
    <t>bypassed</t>
  </si>
  <si>
    <t>20%</t>
  </si>
  <si>
    <t>50%</t>
  </si>
  <si>
    <t>67%</t>
  </si>
  <si>
    <t>POS</t>
  </si>
  <si>
    <t>NEG</t>
  </si>
  <si>
    <t>0000</t>
  </si>
  <si>
    <t>0001</t>
  </si>
  <si>
    <t>0010</t>
  </si>
  <si>
    <t>0011</t>
  </si>
  <si>
    <t>0100</t>
  </si>
  <si>
    <t>0101</t>
  </si>
  <si>
    <t>0110</t>
  </si>
  <si>
    <t>0111</t>
  </si>
  <si>
    <t>1000</t>
  </si>
  <si>
    <t>1001</t>
  </si>
  <si>
    <t>1010</t>
  </si>
  <si>
    <t>1011</t>
  </si>
  <si>
    <t>1100</t>
  </si>
  <si>
    <t>1101</t>
  </si>
  <si>
    <t>2-lead ground ref. galvanic cell</t>
  </si>
  <si>
    <t>Standby</t>
  </si>
  <si>
    <t>Temperature (TIA OFF)</t>
  </si>
  <si>
    <t>Temperature (TIA ON)</t>
  </si>
  <si>
    <t>Parsed setting from binary values</t>
  </si>
  <si>
    <t>----&gt;</t>
  </si>
  <si>
    <t>0b00011000</t>
  </si>
  <si>
    <t>0b00010101</t>
  </si>
  <si>
    <t>0b00010100</t>
  </si>
  <si>
    <t>Not used/Sleep</t>
  </si>
  <si>
    <t>FW version report to UART</t>
  </si>
  <si>
    <t>SD card - failed to create file</t>
  </si>
  <si>
    <t>SD card - failed to write data</t>
  </si>
  <si>
    <t>Time sent from master not accepted - set the clock (redundant to 7)</t>
  </si>
  <si>
    <t>SD card not used in this measurement</t>
  </si>
  <si>
    <t>VEML7700 light sensor not found - continue without</t>
  </si>
  <si>
    <t>Unknows state machine state</t>
  </si>
  <si>
    <t xml:space="preserve"> restart the device!</t>
  </si>
  <si>
    <t>Si7021 RH T sensor not found at initalization - continue without</t>
  </si>
  <si>
    <t>Si7021 RH T sensor not responding - continue without</t>
  </si>
  <si>
    <t>Electrochemical sensor not found at A1.0</t>
  </si>
  <si>
    <t>Electrochemical sensor not found at A1.1</t>
  </si>
  <si>
    <t>Electrochemical sensor not found at A1.2</t>
  </si>
  <si>
    <t>Electrochemical sensor not found at A1.3</t>
  </si>
  <si>
    <t>Electrochemical sensor not found at A2.0</t>
  </si>
  <si>
    <t>Electrochemical sensor not found at A2.1</t>
  </si>
  <si>
    <t>Electrochemical sensor not found at A2.2</t>
  </si>
  <si>
    <t>Electrochemical sensor not found at A2.3</t>
  </si>
  <si>
    <t>Electrochemical sensor not found at A3.1</t>
  </si>
  <si>
    <t>Electrochemical sensor not found at A3.2</t>
  </si>
  <si>
    <t>SD card almost full (&lt;100MB free)</t>
  </si>
  <si>
    <t>A3.1 setting does not go though</t>
  </si>
  <si>
    <t>Add LMP readback check - not only write to serial</t>
  </si>
  <si>
    <t>0b00001110</t>
  </si>
  <si>
    <t>%O2=( (3.35[reference]-X) / 7000[gain] ) / 10.4e-6[A/%O2]</t>
  </si>
  <si>
    <t>ppmCO=( (X - 1[ref or base air level]) / 120e3[gain] ) / 1.8e-9[A/ppm]</t>
  </si>
  <si>
    <t>done, fixed</t>
  </si>
  <si>
    <t>0b00100111</t>
  </si>
  <si>
    <t>A3.2 should not be powered even if amonia not used</t>
  </si>
  <si>
    <t>WE to CE voltage</t>
  </si>
  <si>
    <t>Bias setting</t>
  </si>
  <si>
    <t>Bias polarity</t>
  </si>
  <si>
    <t>neg</t>
  </si>
  <si>
    <t>intZ</t>
  </si>
  <si>
    <t>50%VDD</t>
  </si>
  <si>
    <t>pos</t>
  </si>
  <si>
    <t>WE to RE voltage</t>
  </si>
  <si>
    <t>0b0XXXXXXX</t>
  </si>
  <si>
    <t>0b00010001</t>
  </si>
  <si>
    <t>INT zero 20%</t>
  </si>
  <si>
    <t>Int zero67%</t>
  </si>
  <si>
    <t>0b00011001</t>
  </si>
  <si>
    <t>??</t>
  </si>
  <si>
    <t>ppmNO2=( (3.35[reference]-X) / 35e3[gain] ) / 45.7e-6[A/%O2]</t>
  </si>
  <si>
    <t>ppmNO= (X - 1[ref or base level]) / 14e3[gain] / 46.4e-9[A/ppm]</t>
  </si>
  <si>
    <t>ppnHCN= (X - 1[ref or base level]) / 120e3[gain] / 92e-9[A/ppm]</t>
  </si>
  <si>
    <r>
      <t xml:space="preserve">approx. Output value, X in </t>
    </r>
    <r>
      <rPr>
        <b/>
        <sz val="11"/>
        <color theme="1"/>
        <rFont val="Calibri"/>
        <family val="2"/>
        <scheme val="minor"/>
      </rPr>
      <t>V</t>
    </r>
    <r>
      <rPr>
        <sz val="11"/>
        <color theme="1"/>
        <rFont val="Calibri"/>
        <family val="2"/>
        <scheme val="minor"/>
      </rPr>
      <t>, using middle or measured sensitivity from datasheet</t>
    </r>
  </si>
  <si>
    <t>not used for el-chem</t>
  </si>
  <si>
    <t>spare</t>
  </si>
  <si>
    <t>Measuring BIAS</t>
  </si>
  <si>
    <t>NO-AE plugged</t>
  </si>
  <si>
    <t>0b00010000</t>
  </si>
  <si>
    <t>0b00100000</t>
  </si>
  <si>
    <t>0b00100001</t>
  </si>
  <si>
    <t>0b00110001</t>
  </si>
  <si>
    <t>Electrochemical sensor configuration readback failed at A1.0</t>
  </si>
  <si>
    <t>Electrochemical sensor configuration readback failed at A1.1</t>
  </si>
  <si>
    <t>Electrochemical sensor configuration readback failed at A1.2</t>
  </si>
  <si>
    <t>Electrochemical sensor configuration readback failed at A1.3</t>
  </si>
  <si>
    <t>Electrochemical sensor configuration readback failed at A2.0</t>
  </si>
  <si>
    <t>Electrochemical sensor configuration readback failed at A2.1</t>
  </si>
  <si>
    <t>Electrochemical sensor configuration readback failed at A2.2</t>
  </si>
  <si>
    <t>Electrochemical sensor configuration readback failed at A2.3</t>
  </si>
  <si>
    <t>Electrochemical sensor configuration readback failed at A3.1</t>
  </si>
  <si>
    <t>Electrochemical sensor configuration readback failed at A3.2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</si>
</sst>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6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569CD6"/>
      <name val="Consolas"/>
      <family val="3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4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24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2" borderId="2" xfId="0" applyFill="1" applyBorder="1"/>
    <xf numFmtId="0" fontId="0" fillId="2" borderId="3" xfId="0" applyFill="1" applyBorder="1"/>
    <xf numFmtId="0" fontId="0" fillId="0" borderId="3" xfId="0" applyBorder="1"/>
    <xf numFmtId="0" fontId="0" fillId="0" borderId="0" xfId="0" applyFill="1" applyBorder="1"/>
    <xf numFmtId="0" fontId="0" fillId="0" borderId="0" xfId="0" applyAlignment="1">
      <alignment horizontal="right"/>
    </xf>
    <xf numFmtId="0" fontId="3" fillId="0" borderId="0" xfId="0" applyFont="1"/>
    <xf numFmtId="11" fontId="0" fillId="0" borderId="0" xfId="0" applyNumberFormat="1"/>
    <xf numFmtId="11" fontId="3" fillId="0" borderId="0" xfId="0" applyNumberFormat="1" applyFont="1"/>
    <xf numFmtId="0" fontId="4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16" fontId="0" fillId="0" borderId="8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9" xfId="0" applyFill="1" applyBorder="1"/>
    <xf numFmtId="0" fontId="0" fillId="0" borderId="8" xfId="0" applyFill="1" applyBorder="1"/>
    <xf numFmtId="0" fontId="5" fillId="0" borderId="4" xfId="0" applyFont="1" applyFill="1" applyBorder="1"/>
    <xf numFmtId="0" fontId="2" fillId="0" borderId="0" xfId="0" applyFont="1" applyFill="1" applyBorder="1"/>
    <xf numFmtId="0" fontId="2" fillId="0" borderId="4" xfId="0" applyFont="1" applyBorder="1"/>
    <xf numFmtId="0" fontId="2" fillId="0" borderId="0" xfId="0" applyFont="1"/>
    <xf numFmtId="0" fontId="3" fillId="0" borderId="3" xfId="0" applyFont="1" applyBorder="1"/>
    <xf numFmtId="0" fontId="6" fillId="0" borderId="4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3" xfId="0" applyFont="1" applyBorder="1"/>
    <xf numFmtId="0" fontId="2" fillId="0" borderId="3" xfId="0" applyFont="1" applyFill="1" applyBorder="1"/>
    <xf numFmtId="0" fontId="7" fillId="0" borderId="3" xfId="0" applyFont="1" applyBorder="1"/>
    <xf numFmtId="0" fontId="7" fillId="0" borderId="3" xfId="0" applyFont="1" applyFill="1" applyBorder="1"/>
    <xf numFmtId="0" fontId="7" fillId="0" borderId="4" xfId="0" applyFont="1" applyFill="1" applyBorder="1"/>
    <xf numFmtId="0" fontId="0" fillId="2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9" xfId="0" applyBorder="1" applyAlignment="1">
      <alignment horizontal="left" wrapText="1"/>
    </xf>
    <xf numFmtId="0" fontId="9" fillId="0" borderId="0" xfId="1" quotePrefix="1" applyFont="1"/>
    <xf numFmtId="0" fontId="8" fillId="0" borderId="0" xfId="1"/>
    <xf numFmtId="0" fontId="10" fillId="0" borderId="0" xfId="1" applyFont="1"/>
    <xf numFmtId="0" fontId="11" fillId="0" borderId="0" xfId="0" applyFon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12" fillId="0" borderId="0" xfId="0" applyFont="1"/>
    <xf numFmtId="0" fontId="8" fillId="0" borderId="9" xfId="1" applyBorder="1"/>
    <xf numFmtId="0" fontId="0" fillId="12" borderId="0" xfId="0" applyFill="1"/>
    <xf numFmtId="0" fontId="8" fillId="0" borderId="12" xfId="1" applyBorder="1"/>
    <xf numFmtId="0" fontId="0" fillId="0" borderId="0" xfId="0" applyAlignment="1">
      <alignment horizontal="center" wrapText="1"/>
    </xf>
    <xf numFmtId="16" fontId="0" fillId="0" borderId="8" xfId="0" applyNumberFormat="1" applyFill="1" applyBorder="1"/>
    <xf numFmtId="16" fontId="0" fillId="0" borderId="10" xfId="0" applyNumberFormat="1" applyBorder="1"/>
    <xf numFmtId="0" fontId="0" fillId="0" borderId="12" xfId="0" applyFill="1" applyBorder="1" applyAlignment="1">
      <alignment wrapText="1"/>
    </xf>
    <xf numFmtId="0" fontId="0" fillId="0" borderId="9" xfId="0" applyBorder="1" applyAlignment="1">
      <alignment horizontal="left" wrapText="1"/>
    </xf>
    <xf numFmtId="0" fontId="0" fillId="0" borderId="0" xfId="0" applyAlignment="1">
      <alignment wrapText="1"/>
    </xf>
    <xf numFmtId="0" fontId="14" fillId="0" borderId="0" xfId="0" applyFont="1" applyAlignment="1">
      <alignment vertical="center"/>
    </xf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0" xfId="0" applyFont="1" applyBorder="1"/>
    <xf numFmtId="0" fontId="0" fillId="0" borderId="9" xfId="0" applyFont="1" applyBorder="1"/>
    <xf numFmtId="0" fontId="0" fillId="0" borderId="9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12" xfId="0" applyFont="1" applyFill="1" applyBorder="1"/>
    <xf numFmtId="0" fontId="8" fillId="0" borderId="0" xfId="1" quotePrefix="1"/>
    <xf numFmtId="0" fontId="15" fillId="0" borderId="0" xfId="0" applyFont="1"/>
    <xf numFmtId="0" fontId="0" fillId="0" borderId="0" xfId="0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14" xfId="0" applyBorder="1" applyAlignment="1">
      <alignment wrapText="1"/>
    </xf>
    <xf numFmtId="0" fontId="0" fillId="0" borderId="18" xfId="0" applyFont="1" applyBorder="1"/>
    <xf numFmtId="0" fontId="0" fillId="0" borderId="19" xfId="0" applyFont="1" applyBorder="1"/>
    <xf numFmtId="0" fontId="0" fillId="0" borderId="14" xfId="0" applyFont="1" applyBorder="1" applyAlignment="1">
      <alignment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8" fillId="0" borderId="14" xfId="1" applyBorder="1" applyAlignment="1">
      <alignment wrapText="1"/>
    </xf>
    <xf numFmtId="0" fontId="0" fillId="15" borderId="8" xfId="0" applyFill="1" applyBorder="1"/>
    <xf numFmtId="0" fontId="0" fillId="15" borderId="9" xfId="0" applyFill="1" applyBorder="1"/>
    <xf numFmtId="0" fontId="0" fillId="15" borderId="10" xfId="0" applyFill="1" applyBorder="1"/>
    <xf numFmtId="0" fontId="0" fillId="15" borderId="12" xfId="0" applyFill="1" applyBorder="1"/>
    <xf numFmtId="0" fontId="0" fillId="15" borderId="20" xfId="0" applyFill="1" applyBorder="1"/>
    <xf numFmtId="0" fontId="0" fillId="15" borderId="13" xfId="0" applyFill="1" applyBorder="1"/>
    <xf numFmtId="0" fontId="3" fillId="14" borderId="5" xfId="0" applyFont="1" applyFill="1" applyBorder="1"/>
    <xf numFmtId="0" fontId="3" fillId="14" borderId="6" xfId="0" applyFont="1" applyFill="1" applyBorder="1"/>
    <xf numFmtId="0" fontId="3" fillId="14" borderId="7" xfId="0" applyFont="1" applyFill="1" applyBorder="1"/>
    <xf numFmtId="0" fontId="0" fillId="0" borderId="8" xfId="0" applyBorder="1" applyAlignment="1">
      <alignment horizontal="right"/>
    </xf>
    <xf numFmtId="0" fontId="0" fillId="15" borderId="0" xfId="0" applyFont="1" applyFill="1" applyBorder="1"/>
    <xf numFmtId="49" fontId="0" fillId="0" borderId="0" xfId="0" applyNumberFormat="1"/>
    <xf numFmtId="0" fontId="14" fillId="0" borderId="5" xfId="0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0" fontId="0" fillId="0" borderId="8" xfId="0" applyFill="1" applyBorder="1" applyAlignment="1">
      <alignment horizontal="right"/>
    </xf>
    <xf numFmtId="0" fontId="0" fillId="0" borderId="10" xfId="0" applyBorder="1" applyAlignment="1">
      <alignment horizontal="right"/>
    </xf>
    <xf numFmtId="0" fontId="0" fillId="15" borderId="11" xfId="0" applyFont="1" applyFill="1" applyBorder="1"/>
    <xf numFmtId="0" fontId="0" fillId="0" borderId="5" xfId="0" applyFill="1" applyBorder="1" applyAlignment="1">
      <alignment horizontal="right"/>
    </xf>
    <xf numFmtId="0" fontId="0" fillId="0" borderId="6" xfId="0" applyFill="1" applyBorder="1"/>
    <xf numFmtId="0" fontId="0" fillId="15" borderId="6" xfId="0" applyFont="1" applyFill="1" applyBorder="1"/>
    <xf numFmtId="0" fontId="0" fillId="0" borderId="10" xfId="0" applyFill="1" applyBorder="1" applyAlignment="1">
      <alignment horizontal="right"/>
    </xf>
    <xf numFmtId="0" fontId="0" fillId="0" borderId="11" xfId="0" applyFill="1" applyBorder="1"/>
    <xf numFmtId="0" fontId="0" fillId="0" borderId="5" xfId="0" applyBorder="1" applyAlignment="1">
      <alignment horizontal="right"/>
    </xf>
    <xf numFmtId="0" fontId="8" fillId="0" borderId="7" xfId="1" applyBorder="1"/>
    <xf numFmtId="0" fontId="0" fillId="0" borderId="6" xfId="0" applyFont="1" applyFill="1" applyBorder="1"/>
    <xf numFmtId="0" fontId="0" fillId="0" borderId="11" xfId="0" applyFont="1" applyFill="1" applyBorder="1"/>
    <xf numFmtId="0" fontId="8" fillId="0" borderId="9" xfId="1" applyBorder="1" applyAlignment="1">
      <alignment horizontal="left" wrapText="1"/>
    </xf>
    <xf numFmtId="9" fontId="0" fillId="0" borderId="0" xfId="0" applyNumberFormat="1"/>
    <xf numFmtId="0" fontId="12" fillId="0" borderId="0" xfId="0" applyFont="1" applyAlignment="1">
      <alignment horizontal="center" wrapText="1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3" fillId="14" borderId="18" xfId="0" applyFont="1" applyFill="1" applyBorder="1"/>
    <xf numFmtId="0" fontId="0" fillId="0" borderId="21" xfId="0" applyBorder="1"/>
    <xf numFmtId="0" fontId="0" fillId="0" borderId="21" xfId="0" applyFill="1" applyBorder="1"/>
    <xf numFmtId="0" fontId="16" fillId="0" borderId="0" xfId="0" applyFont="1" applyAlignment="1">
      <alignment horizontal="left" vertical="center" wrapText="1"/>
    </xf>
    <xf numFmtId="0" fontId="0" fillId="0" borderId="0" xfId="0" applyFill="1" applyBorder="1" applyAlignment="1">
      <alignment horizontal="right"/>
    </xf>
    <xf numFmtId="9" fontId="0" fillId="0" borderId="6" xfId="0" applyNumberFormat="1" applyBorder="1"/>
    <xf numFmtId="11" fontId="0" fillId="0" borderId="0" xfId="0" applyNumberFormat="1" applyBorder="1"/>
    <xf numFmtId="2" fontId="0" fillId="0" borderId="11" xfId="0" applyNumberFormat="1" applyBorder="1"/>
    <xf numFmtId="9" fontId="0" fillId="0" borderId="0" xfId="0" quotePrefix="1" applyNumberFormat="1"/>
    <xf numFmtId="0" fontId="0" fillId="0" borderId="0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15" xfId="0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5" xfId="0" applyBorder="1"/>
    <xf numFmtId="0" fontId="0" fillId="0" borderId="0" xfId="0" quotePrefix="1"/>
    <xf numFmtId="9" fontId="0" fillId="0" borderId="0" xfId="0" applyNumberFormat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6" xfId="0" applyBorder="1"/>
    <xf numFmtId="0" fontId="0" fillId="0" borderId="17" xfId="0" applyBorder="1"/>
    <xf numFmtId="0" fontId="0" fillId="0" borderId="0" xfId="0" quotePrefix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16" borderId="6" xfId="0" applyFill="1" applyBorder="1" applyAlignment="1">
      <alignment horizontal="right"/>
    </xf>
    <xf numFmtId="0" fontId="0" fillId="16" borderId="0" xfId="0" applyFill="1" applyBorder="1" applyAlignment="1">
      <alignment horizontal="right"/>
    </xf>
    <xf numFmtId="0" fontId="0" fillId="16" borderId="0" xfId="0" applyFill="1" applyBorder="1"/>
    <xf numFmtId="0" fontId="0" fillId="16" borderId="11" xfId="0" applyFill="1" applyBorder="1"/>
    <xf numFmtId="0" fontId="0" fillId="16" borderId="0" xfId="0" applyFont="1" applyFill="1" applyBorder="1"/>
    <xf numFmtId="9" fontId="0" fillId="0" borderId="6" xfId="0" applyNumberFormat="1" applyBorder="1" applyAlignment="1">
      <alignment horizontal="right"/>
    </xf>
    <xf numFmtId="9" fontId="0" fillId="0" borderId="7" xfId="0" applyNumberFormat="1" applyBorder="1" applyAlignment="1">
      <alignment horizontal="right"/>
    </xf>
    <xf numFmtId="9" fontId="0" fillId="0" borderId="0" xfId="0" applyNumberFormat="1" applyBorder="1" applyAlignment="1">
      <alignment horizontal="right"/>
    </xf>
    <xf numFmtId="9" fontId="0" fillId="0" borderId="0" xfId="0" applyNumberFormat="1" applyBorder="1"/>
    <xf numFmtId="9" fontId="0" fillId="0" borderId="9" xfId="0" applyNumberFormat="1" applyBorder="1"/>
    <xf numFmtId="9" fontId="0" fillId="0" borderId="18" xfId="0" applyNumberFormat="1" applyBorder="1" applyAlignment="1">
      <alignment horizontal="right"/>
    </xf>
    <xf numFmtId="9" fontId="0" fillId="0" borderId="21" xfId="0" applyNumberFormat="1" applyBorder="1"/>
    <xf numFmtId="0" fontId="0" fillId="16" borderId="0" xfId="0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9" xfId="0" applyFont="1" applyBorder="1" applyAlignment="1">
      <alignment horizontal="right"/>
    </xf>
    <xf numFmtId="0" fontId="0" fillId="0" borderId="0" xfId="0" quotePrefix="1" applyFont="1" applyAlignment="1">
      <alignment horizontal="right"/>
    </xf>
    <xf numFmtId="0" fontId="0" fillId="0" borderId="0" xfId="0" applyFont="1" applyAlignment="1">
      <alignment horizontal="right"/>
    </xf>
    <xf numFmtId="9" fontId="0" fillId="0" borderId="0" xfId="0" applyNumberFormat="1" applyFont="1" applyAlignment="1">
      <alignment horizontal="right"/>
    </xf>
    <xf numFmtId="0" fontId="0" fillId="0" borderId="0" xfId="0" applyAlignment="1">
      <alignment horizontal="right" wrapText="1"/>
    </xf>
    <xf numFmtId="0" fontId="0" fillId="0" borderId="0" xfId="0" applyFill="1"/>
    <xf numFmtId="9" fontId="0" fillId="0" borderId="0" xfId="0" applyNumberFormat="1" applyFill="1"/>
    <xf numFmtId="0" fontId="3" fillId="0" borderId="0" xfId="0" applyFont="1" applyFill="1"/>
    <xf numFmtId="9" fontId="0" fillId="0" borderId="0" xfId="0" quotePrefix="1" applyNumberFormat="1" applyFill="1"/>
    <xf numFmtId="0" fontId="0" fillId="0" borderId="0" xfId="0" applyFont="1" applyFill="1"/>
    <xf numFmtId="9" fontId="3" fillId="0" borderId="0" xfId="0" quotePrefix="1" applyNumberFormat="1" applyFont="1" applyFill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9" xfId="0" applyFont="1" applyFill="1" applyBorder="1"/>
    <xf numFmtId="0" fontId="3" fillId="0" borderId="0" xfId="0" applyFont="1" applyFill="1" applyBorder="1"/>
    <xf numFmtId="9" fontId="0" fillId="0" borderId="0" xfId="0" applyNumberFormat="1" applyFill="1" applyBorder="1"/>
    <xf numFmtId="9" fontId="0" fillId="0" borderId="0" xfId="0" applyNumberFormat="1" applyFill="1" applyBorder="1" applyAlignment="1">
      <alignment horizontal="right"/>
    </xf>
    <xf numFmtId="0" fontId="13" fillId="13" borderId="0" xfId="0" applyFont="1" applyFill="1" applyAlignment="1">
      <alignment horizontal="center"/>
    </xf>
    <xf numFmtId="0" fontId="0" fillId="0" borderId="8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0" xfId="0" applyAlignment="1">
      <alignment horizontal="center"/>
    </xf>
    <xf numFmtId="0" fontId="17" fillId="16" borderId="15" xfId="0" applyFont="1" applyFill="1" applyBorder="1" applyAlignment="1">
      <alignment horizontal="center"/>
    </xf>
    <xf numFmtId="0" fontId="17" fillId="16" borderId="16" xfId="0" applyFont="1" applyFill="1" applyBorder="1" applyAlignment="1">
      <alignment horizontal="center"/>
    </xf>
    <xf numFmtId="0" fontId="17" fillId="16" borderId="17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8" fillId="0" borderId="5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2" fillId="0" borderId="0" xfId="0" applyFont="1" applyAlignment="1">
      <alignment horizontal="center" wrapText="1"/>
    </xf>
    <xf numFmtId="0" fontId="0" fillId="0" borderId="16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</cellXfs>
  <cellStyles count="2">
    <cellStyle name="Hypertextové prepojenie" xfId="1" builtinId="8"/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Vout=f(bias)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'El-chem debugging'!$D$11</c:f>
              <c:strCache>
                <c:ptCount val="1"/>
                <c:pt idx="0">
                  <c:v>board1 35k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'El-chem debugging'!$C$12:$C$19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'El-chem debugging'!$D$12:$D$19</c:f>
              <c:numCache>
                <c:formatCode>General</c:formatCode>
                <c:ptCount val="8"/>
                <c:pt idx="0">
                  <c:v>998.1</c:v>
                </c:pt>
                <c:pt idx="1">
                  <c:v>1006.7</c:v>
                </c:pt>
                <c:pt idx="2">
                  <c:v>1017</c:v>
                </c:pt>
                <c:pt idx="3">
                  <c:v>1020.45</c:v>
                </c:pt>
                <c:pt idx="4">
                  <c:v>1023.55</c:v>
                </c:pt>
                <c:pt idx="5">
                  <c:v>1027.3</c:v>
                </c:pt>
                <c:pt idx="6">
                  <c:v>1030.7</c:v>
                </c:pt>
                <c:pt idx="7">
                  <c:v>1030.7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'El-chem debugging'!$E$11</c:f>
              <c:strCache>
                <c:ptCount val="1"/>
                <c:pt idx="0">
                  <c:v>board2 35k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'El-chem debugging'!$C$12:$C$19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'El-chem debugging'!$E$12:$E$19</c:f>
              <c:numCache>
                <c:formatCode>General</c:formatCode>
                <c:ptCount val="8"/>
                <c:pt idx="0">
                  <c:v>997.4</c:v>
                </c:pt>
                <c:pt idx="1">
                  <c:v>1006.15</c:v>
                </c:pt>
                <c:pt idx="2">
                  <c:v>1016.55</c:v>
                </c:pt>
                <c:pt idx="3">
                  <c:v>1020</c:v>
                </c:pt>
                <c:pt idx="4">
                  <c:v>1023.9</c:v>
                </c:pt>
                <c:pt idx="5">
                  <c:v>1027</c:v>
                </c:pt>
                <c:pt idx="6">
                  <c:v>1030.4000000000001</c:v>
                </c:pt>
                <c:pt idx="7">
                  <c:v>1030.3699999999999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'El-chem debugging'!$D$27</c:f>
              <c:strCache>
                <c:ptCount val="1"/>
                <c:pt idx="0">
                  <c:v>board1 350k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'El-chem debugging'!$C$28:$C$30</c:f>
              <c:numCache>
                <c:formatCode>General</c:formatCode>
                <c:ptCount val="3"/>
                <c:pt idx="0">
                  <c:v>6</c:v>
                </c:pt>
                <c:pt idx="1">
                  <c:v>16</c:v>
                </c:pt>
                <c:pt idx="2">
                  <c:v>20</c:v>
                </c:pt>
              </c:numCache>
            </c:numRef>
          </c:xVal>
          <c:yVal>
            <c:numRef>
              <c:f>'El-chem debugging'!$D$28:$D$30</c:f>
              <c:numCache>
                <c:formatCode>General</c:formatCode>
                <c:ptCount val="3"/>
                <c:pt idx="0">
                  <c:v>1099.4000000000001</c:v>
                </c:pt>
                <c:pt idx="1">
                  <c:v>1271.25</c:v>
                </c:pt>
                <c:pt idx="2">
                  <c:v>1339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'El-chem debugging'!$E$27</c:f>
              <c:strCache>
                <c:ptCount val="1"/>
                <c:pt idx="0">
                  <c:v>board2 350k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'El-chem debugging'!$C$28:$C$30</c:f>
              <c:numCache>
                <c:formatCode>General</c:formatCode>
                <c:ptCount val="3"/>
                <c:pt idx="0">
                  <c:v>6</c:v>
                </c:pt>
                <c:pt idx="1">
                  <c:v>16</c:v>
                </c:pt>
                <c:pt idx="2">
                  <c:v>20</c:v>
                </c:pt>
              </c:numCache>
            </c:numRef>
          </c:xVal>
          <c:yVal>
            <c:numRef>
              <c:f>'El-chem debugging'!$E$28:$E$30</c:f>
              <c:numCache>
                <c:formatCode>General</c:formatCode>
                <c:ptCount val="3"/>
                <c:pt idx="0">
                  <c:v>1099.9000000000001</c:v>
                </c:pt>
                <c:pt idx="1">
                  <c:v>1273.7</c:v>
                </c:pt>
                <c:pt idx="2">
                  <c:v>1342.3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293592"/>
        <c:axId val="343353544"/>
      </c:scatterChart>
      <c:valAx>
        <c:axId val="343293592"/>
        <c:scaling>
          <c:orientation val="minMax"/>
          <c:max val="25"/>
          <c:min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353544"/>
        <c:crosses val="autoZero"/>
        <c:crossBetween val="midCat"/>
      </c:valAx>
      <c:valAx>
        <c:axId val="343353544"/>
        <c:scaling>
          <c:orientation val="minMax"/>
          <c:max val="1400"/>
          <c:min val="9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93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1.xml"/><Relationship Id="rId1" Type="http://schemas.openxmlformats.org/officeDocument/2006/relationships/image" Target="../media/image3.png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156010</xdr:colOff>
      <xdr:row>11</xdr:row>
      <xdr:rowOff>164224</xdr:rowOff>
    </xdr:from>
    <xdr:to>
      <xdr:col>15</xdr:col>
      <xdr:colOff>211519</xdr:colOff>
      <xdr:row>33</xdr:row>
      <xdr:rowOff>99520</xdr:rowOff>
    </xdr:to>
    <xdr:pic>
      <xdr:nvPicPr>
        <xdr:cNvPr id="2" name="Obrázok 1" descr="VÃ½sledok vyhÄ¾adÃ¡vania obrÃ¡zkov pre dopyt devkit esp32 c pinou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010" y="2069224"/>
          <a:ext cx="9797285" cy="41262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4</xdr:col>
      <xdr:colOff>204168</xdr:colOff>
      <xdr:row>25</xdr:row>
      <xdr:rowOff>142571</xdr:rowOff>
    </xdr:to>
    <xdr:pic>
      <xdr:nvPicPr>
        <xdr:cNvPr id="2" name="Obrázok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135" y="2286000"/>
          <a:ext cx="2028571" cy="24285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5</xdr:row>
      <xdr:rowOff>228600</xdr:rowOff>
    </xdr:from>
    <xdr:to>
      <xdr:col>6</xdr:col>
      <xdr:colOff>142875</xdr:colOff>
      <xdr:row>7</xdr:row>
      <xdr:rowOff>57150</xdr:rowOff>
    </xdr:to>
    <xdr:cxnSp macro="">
      <xdr:nvCxnSpPr>
        <xdr:cNvPr id="3" name="Rovná spojovacia šípka 2"/>
        <xdr:cNvCxnSpPr/>
      </xdr:nvCxnSpPr>
      <xdr:spPr>
        <a:xfrm>
          <a:off x="3638550" y="1104900"/>
          <a:ext cx="1200150" cy="60960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8</xdr:row>
      <xdr:rowOff>9525</xdr:rowOff>
    </xdr:from>
    <xdr:to>
      <xdr:col>6</xdr:col>
      <xdr:colOff>123825</xdr:colOff>
      <xdr:row>9</xdr:row>
      <xdr:rowOff>95250</xdr:rowOff>
    </xdr:to>
    <xdr:cxnSp macro="">
      <xdr:nvCxnSpPr>
        <xdr:cNvPr id="4" name="Rovná spojovacia šípka 3"/>
        <xdr:cNvCxnSpPr/>
      </xdr:nvCxnSpPr>
      <xdr:spPr>
        <a:xfrm flipH="1">
          <a:off x="3638550" y="1857375"/>
          <a:ext cx="1181100" cy="28575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22</xdr:row>
      <xdr:rowOff>19050</xdr:rowOff>
    </xdr:from>
    <xdr:to>
      <xdr:col>6</xdr:col>
      <xdr:colOff>123825</xdr:colOff>
      <xdr:row>23</xdr:row>
      <xdr:rowOff>104775</xdr:rowOff>
    </xdr:to>
    <xdr:cxnSp macro="">
      <xdr:nvCxnSpPr>
        <xdr:cNvPr id="8" name="Rovná spojovacia šípka 7"/>
        <xdr:cNvCxnSpPr/>
      </xdr:nvCxnSpPr>
      <xdr:spPr>
        <a:xfrm flipH="1">
          <a:off x="3638550" y="4581525"/>
          <a:ext cx="1181100" cy="28575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104775</xdr:colOff>
      <xdr:row>24</xdr:row>
      <xdr:rowOff>0</xdr:rowOff>
    </xdr:from>
    <xdr:to>
      <xdr:col>6</xdr:col>
      <xdr:colOff>180975</xdr:colOff>
      <xdr:row>26</xdr:row>
      <xdr:rowOff>28575</xdr:rowOff>
    </xdr:to>
    <xdr:cxnSp macro="">
      <xdr:nvCxnSpPr>
        <xdr:cNvPr id="9" name="Rovná spojovacia šípka 8"/>
        <xdr:cNvCxnSpPr/>
      </xdr:nvCxnSpPr>
      <xdr:spPr>
        <a:xfrm>
          <a:off x="3676650" y="4953000"/>
          <a:ext cx="1200150" cy="60960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13</xdr:row>
      <xdr:rowOff>114300</xdr:rowOff>
    </xdr:from>
    <xdr:to>
      <xdr:col>6</xdr:col>
      <xdr:colOff>142875</xdr:colOff>
      <xdr:row>13</xdr:row>
      <xdr:rowOff>123825</xdr:rowOff>
    </xdr:to>
    <xdr:cxnSp macro="">
      <xdr:nvCxnSpPr>
        <xdr:cNvPr id="10" name="Rovná spojovacia šípka 9"/>
        <xdr:cNvCxnSpPr/>
      </xdr:nvCxnSpPr>
      <xdr:spPr>
        <a:xfrm>
          <a:off x="3581400" y="2933700"/>
          <a:ext cx="1257300" cy="952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1733550</xdr:colOff>
      <xdr:row>31</xdr:row>
      <xdr:rowOff>76200</xdr:rowOff>
    </xdr:from>
    <xdr:to>
      <xdr:col>6</xdr:col>
      <xdr:colOff>161925</xdr:colOff>
      <xdr:row>31</xdr:row>
      <xdr:rowOff>104775</xdr:rowOff>
    </xdr:to>
    <xdr:cxnSp macro="">
      <xdr:nvCxnSpPr>
        <xdr:cNvPr id="7" name="Rovná spojovacia šípka 6"/>
        <xdr:cNvCxnSpPr/>
      </xdr:nvCxnSpPr>
      <xdr:spPr>
        <a:xfrm flipH="1">
          <a:off x="3562350" y="6915150"/>
          <a:ext cx="1295400" cy="2857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1733550</xdr:colOff>
      <xdr:row>44</xdr:row>
      <xdr:rowOff>66675</xdr:rowOff>
    </xdr:from>
    <xdr:to>
      <xdr:col>6</xdr:col>
      <xdr:colOff>161925</xdr:colOff>
      <xdr:row>44</xdr:row>
      <xdr:rowOff>95250</xdr:rowOff>
    </xdr:to>
    <xdr:cxnSp macro="">
      <xdr:nvCxnSpPr>
        <xdr:cNvPr id="11" name="Rovná spojovacia šípka 10"/>
        <xdr:cNvCxnSpPr/>
      </xdr:nvCxnSpPr>
      <xdr:spPr>
        <a:xfrm flipH="1">
          <a:off x="3562350" y="8458200"/>
          <a:ext cx="1295400" cy="2857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35</xdr:row>
      <xdr:rowOff>76200</xdr:rowOff>
    </xdr:from>
    <xdr:to>
      <xdr:col>7</xdr:col>
      <xdr:colOff>0</xdr:colOff>
      <xdr:row>35</xdr:row>
      <xdr:rowOff>104775</xdr:rowOff>
    </xdr:to>
    <xdr:cxnSp macro="">
      <xdr:nvCxnSpPr>
        <xdr:cNvPr id="12" name="Rovná spojovacia šípka 11"/>
        <xdr:cNvCxnSpPr/>
      </xdr:nvCxnSpPr>
      <xdr:spPr>
        <a:xfrm flipH="1">
          <a:off x="3590925" y="7696200"/>
          <a:ext cx="1295400" cy="2857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228600</xdr:colOff>
      <xdr:row>3</xdr:row>
      <xdr:rowOff>131894</xdr:rowOff>
    </xdr:from>
    <xdr:to>
      <xdr:col>27</xdr:col>
      <xdr:colOff>379692</xdr:colOff>
      <xdr:row>31</xdr:row>
      <xdr:rowOff>27653</xdr:rowOff>
    </xdr:to>
    <xdr:pic>
      <xdr:nvPicPr>
        <xdr:cNvPr id="2" name="Obrázo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72600" y="512894"/>
          <a:ext cx="7466292" cy="5258334"/>
        </a:xfrm>
        <a:prstGeom prst="rect">
          <a:avLst/>
        </a:prstGeom>
      </xdr:spPr>
    </xdr:pic>
    <xdr:clientData/>
  </xdr:twoCellAnchor>
  <xdr:twoCellAnchor>
    <xdr:from>
      <xdr:col>6</xdr:col>
      <xdr:colOff>219075</xdr:colOff>
      <xdr:row>5</xdr:row>
      <xdr:rowOff>171450</xdr:rowOff>
    </xdr:from>
    <xdr:to>
      <xdr:col>15</xdr:col>
      <xdr:colOff>95250</xdr:colOff>
      <xdr:row>30</xdr:row>
      <xdr:rowOff>123825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342899</xdr:colOff>
      <xdr:row>31</xdr:row>
      <xdr:rowOff>932</xdr:rowOff>
    </xdr:from>
    <xdr:to>
      <xdr:col>25</xdr:col>
      <xdr:colOff>27260</xdr:colOff>
      <xdr:row>45</xdr:row>
      <xdr:rowOff>123182</xdr:rowOff>
    </xdr:to>
    <xdr:pic>
      <xdr:nvPicPr>
        <xdr:cNvPr id="4" name="Obrázok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39349" y="5715932"/>
          <a:ext cx="5780361" cy="2827350"/>
        </a:xfrm>
        <a:prstGeom prst="rect">
          <a:avLst/>
        </a:prstGeom>
      </xdr:spPr>
    </xdr:pic>
    <xdr:clientData/>
  </xdr:twoCellAnchor>
  <xdr:twoCellAnchor editAs="oneCell">
    <xdr:from>
      <xdr:col>0</xdr:col>
      <xdr:colOff>257175</xdr:colOff>
      <xdr:row>33</xdr:row>
      <xdr:rowOff>152400</xdr:rowOff>
    </xdr:from>
    <xdr:to>
      <xdr:col>3</xdr:col>
      <xdr:colOff>771525</xdr:colOff>
      <xdr:row>40</xdr:row>
      <xdr:rowOff>143820</xdr:rowOff>
    </xdr:to>
    <xdr:pic>
      <xdr:nvPicPr>
        <xdr:cNvPr id="5" name="Obrázok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7175" y="6248400"/>
          <a:ext cx="2581275" cy="1334445"/>
        </a:xfrm>
        <a:prstGeom prst="rect">
          <a:avLst/>
        </a:prstGeom>
      </xdr:spPr>
    </xdr:pic>
    <xdr:clientData/>
  </xdr:twoCellAnchor>
  <xdr:twoCellAnchor>
    <xdr:from>
      <xdr:col>5</xdr:col>
      <xdr:colOff>47625</xdr:colOff>
      <xdr:row>28</xdr:row>
      <xdr:rowOff>66675</xdr:rowOff>
    </xdr:from>
    <xdr:to>
      <xdr:col>10</xdr:col>
      <xdr:colOff>123825</xdr:colOff>
      <xdr:row>34</xdr:row>
      <xdr:rowOff>171450</xdr:rowOff>
    </xdr:to>
    <xdr:cxnSp macro="">
      <xdr:nvCxnSpPr>
        <xdr:cNvPr id="10" name="Rovná spojovacia šípka 9"/>
        <xdr:cNvCxnSpPr/>
      </xdr:nvCxnSpPr>
      <xdr:spPr>
        <a:xfrm flipH="1" flipV="1">
          <a:off x="3762375" y="5219700"/>
          <a:ext cx="3971925" cy="127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</xdr:row>
      <xdr:rowOff>0</xdr:rowOff>
    </xdr:from>
    <xdr:to>
      <xdr:col>18</xdr:col>
      <xdr:colOff>599238</xdr:colOff>
      <xdr:row>29</xdr:row>
      <xdr:rowOff>104143</xdr:rowOff>
    </xdr:to>
    <xdr:pic>
      <xdr:nvPicPr>
        <xdr:cNvPr id="2" name="Obrázo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381000"/>
          <a:ext cx="6695238" cy="5057143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error_codes" refreshOnLoad="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www.zimmerpeacocktech.com/knowledge-base/faq/lmp91000-trouble-shooting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www.mouser.com/ProductDetail/CUI/PJ-059A?qs=sGAEpiMZZMtnOp%252BbbqA009lE0K0K%252BPZGgL2j%2Fo1XCBQtBpzQrCB9dQ%3D%3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https://eu.mouser.com/ProductDetail/3M-Electronic-Solutions-Division/950502-6102-AR?qs=mk7%252BW39U1H95%252BMM5da7bdg%3D%3D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2"/>
  <sheetViews>
    <sheetView workbookViewId="0">
      <selection activeCell="B17" sqref="B17"/>
    </sheetView>
  </sheetViews>
  <sheetFormatPr defaultRowHeight="15" x14ac:dyDescent="0.25"/>
  <cols>
    <col min="2" max="2" width="45.42578125" customWidth="1"/>
  </cols>
  <sheetData>
    <row r="1" spans="2:3" ht="21" x14ac:dyDescent="0.35">
      <c r="B1" s="15"/>
    </row>
    <row r="2" spans="2:3" ht="21" x14ac:dyDescent="0.35">
      <c r="B2" s="55" t="s">
        <v>169</v>
      </c>
    </row>
    <row r="3" spans="2:3" ht="21" x14ac:dyDescent="0.35">
      <c r="B3" s="55" t="s">
        <v>170</v>
      </c>
    </row>
    <row r="4" spans="2:3" ht="21" x14ac:dyDescent="0.35">
      <c r="B4" s="55" t="s">
        <v>171</v>
      </c>
    </row>
    <row r="5" spans="2:3" ht="21" x14ac:dyDescent="0.35">
      <c r="B5" s="55" t="s">
        <v>172</v>
      </c>
    </row>
    <row r="6" spans="2:3" ht="21" x14ac:dyDescent="0.35">
      <c r="B6" s="55" t="s">
        <v>173</v>
      </c>
    </row>
    <row r="7" spans="2:3" ht="21" x14ac:dyDescent="0.35">
      <c r="B7" s="55" t="s">
        <v>174</v>
      </c>
    </row>
    <row r="8" spans="2:3" ht="21" x14ac:dyDescent="0.35">
      <c r="B8" s="55" t="s">
        <v>175</v>
      </c>
    </row>
    <row r="9" spans="2:3" ht="21" x14ac:dyDescent="0.35">
      <c r="B9" s="55" t="s">
        <v>439</v>
      </c>
      <c r="C9" s="15"/>
    </row>
    <row r="10" spans="2:3" ht="21" x14ac:dyDescent="0.35">
      <c r="B10" s="55" t="s">
        <v>441</v>
      </c>
      <c r="C10" s="15"/>
    </row>
    <row r="11" spans="2:3" ht="21" x14ac:dyDescent="0.35">
      <c r="B11" s="55" t="s">
        <v>555</v>
      </c>
      <c r="C11" s="15"/>
    </row>
    <row r="12" spans="2:3" ht="21" x14ac:dyDescent="0.35">
      <c r="B12" s="55" t="s">
        <v>536</v>
      </c>
      <c r="C12" s="15"/>
    </row>
    <row r="13" spans="2:3" ht="21" x14ac:dyDescent="0.35">
      <c r="B13" s="55" t="s">
        <v>440</v>
      </c>
      <c r="C13" s="15"/>
    </row>
    <row r="14" spans="2:3" ht="21" x14ac:dyDescent="0.35">
      <c r="B14" s="55" t="s">
        <v>263</v>
      </c>
    </row>
    <row r="15" spans="2:3" ht="21" x14ac:dyDescent="0.35">
      <c r="B15" s="55" t="s">
        <v>176</v>
      </c>
    </row>
    <row r="16" spans="2:3" ht="21" x14ac:dyDescent="0.35">
      <c r="B16" s="55" t="s">
        <v>177</v>
      </c>
    </row>
    <row r="17" spans="2:2" ht="21" x14ac:dyDescent="0.35">
      <c r="B17" s="55" t="s">
        <v>178</v>
      </c>
    </row>
    <row r="18" spans="2:2" ht="21" x14ac:dyDescent="0.35">
      <c r="B18" s="55" t="s">
        <v>179</v>
      </c>
    </row>
    <row r="19" spans="2:2" ht="21" x14ac:dyDescent="0.35">
      <c r="B19" s="55" t="s">
        <v>180</v>
      </c>
    </row>
    <row r="20" spans="2:2" ht="21" x14ac:dyDescent="0.35">
      <c r="B20" s="55" t="s">
        <v>258</v>
      </c>
    </row>
    <row r="21" spans="2:2" ht="21" x14ac:dyDescent="0.35">
      <c r="B21" s="55" t="s">
        <v>472</v>
      </c>
    </row>
    <row r="22" spans="2:2" ht="21" x14ac:dyDescent="0.35">
      <c r="B22" s="55"/>
    </row>
    <row r="23" spans="2:2" ht="21" x14ac:dyDescent="0.35">
      <c r="B23" s="55"/>
    </row>
    <row r="24" spans="2:2" ht="21" x14ac:dyDescent="0.35">
      <c r="B24" s="55"/>
    </row>
    <row r="25" spans="2:2" ht="21" x14ac:dyDescent="0.35">
      <c r="B25" s="55"/>
    </row>
    <row r="26" spans="2:2" ht="21" x14ac:dyDescent="0.35">
      <c r="B26" s="55"/>
    </row>
    <row r="27" spans="2:2" ht="21" x14ac:dyDescent="0.35">
      <c r="B27" s="55"/>
    </row>
    <row r="28" spans="2:2" ht="21" x14ac:dyDescent="0.35">
      <c r="B28" s="55"/>
    </row>
    <row r="29" spans="2:2" ht="21" x14ac:dyDescent="0.35">
      <c r="B29" s="55"/>
    </row>
    <row r="30" spans="2:2" ht="21" x14ac:dyDescent="0.35">
      <c r="B30" s="55"/>
    </row>
    <row r="31" spans="2:2" ht="21" x14ac:dyDescent="0.35">
      <c r="B31" s="55"/>
    </row>
    <row r="32" spans="2:2" ht="21" x14ac:dyDescent="0.35">
      <c r="B32" s="55"/>
    </row>
  </sheetData>
  <hyperlinks>
    <hyperlink ref="B2" location="'SPI ETH ESP32'!A1" display="'SPI ETH ESP32'!A1"/>
    <hyperlink ref="B3" location="'Pinout ETH DEEK'!A1" display="'Pinout ETH DEEK'!A1"/>
    <hyperlink ref="B4" location="'JTAG conn'!A1" display="'JTAG conn'!A1"/>
    <hyperlink ref="B5" location="'SD usage'!A1" display="'SD usage'!A1"/>
    <hyperlink ref="B6" location="'UDP packets'!A1" display="'UDP packets'!A1"/>
    <hyperlink ref="B7" location="'UDP datagram definition'!A1" display="'UDP datagram definition'!A1"/>
    <hyperlink ref="B8" location="'Message Types'!A1" display="'Message Types'!A1"/>
    <hyperlink ref="B15" location="'ADC selection'!A1" display="'ADC selection'!A1"/>
    <hyperlink ref="B16" location="'Time budget'!A1" display="'Time budget'!A1"/>
    <hyperlink ref="B17" location="'TO DO'!A1" display="'TO DO'!A1"/>
    <hyperlink ref="B18" location="'System setup'!A1" display="'System setup'!A1"/>
    <hyperlink ref="B19" location="'Sensors Example datasheet val.'!A1" display="'Sensors Example datasheet val.'!A1"/>
    <hyperlink ref="B20" location="IssueTracking!A1" display="IssueTracking!A1"/>
    <hyperlink ref="B14" location="'Error Codes'!A1" display="'Error Codes'!A1"/>
    <hyperlink ref="B9" location="Meas_sample!A1" display="Meas_sample!A1"/>
    <hyperlink ref="B13" location="'LabVIEW data log'!A1" display="'LabVIEW data log'!A1"/>
    <hyperlink ref="B10" location="'Sensor Type table'!A1" display="'Sensor Type table'!A1"/>
    <hyperlink ref="B21" location="'Button and LED UI table'!A1" display="'Button and LED UI table'!A1"/>
    <hyperlink ref="B12" location="'Sensor configuration set'!A1" display="'Sensor configuration set'!A1"/>
    <hyperlink ref="B11" location="'ADC autorange'!A1" display="'ADC autorange'!A1"/>
  </hyperlinks>
  <pageMargins left="0.7" right="0.7" top="0.75" bottom="0.75" header="0.3" footer="0.3"/>
  <pageSetup orientation="portrait" horizontalDpi="4294967293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2"/>
  <sheetViews>
    <sheetView topLeftCell="A70" workbookViewId="0">
      <selection activeCell="E99" sqref="E99"/>
    </sheetView>
  </sheetViews>
  <sheetFormatPr defaultRowHeight="15" x14ac:dyDescent="0.25"/>
  <cols>
    <col min="2" max="2" width="23.28515625" bestFit="1" customWidth="1"/>
    <col min="3" max="3" width="22.42578125" bestFit="1" customWidth="1"/>
    <col min="4" max="4" width="30" bestFit="1" customWidth="1"/>
    <col min="5" max="5" width="12.28515625" bestFit="1" customWidth="1"/>
    <col min="6" max="6" width="23.140625" bestFit="1" customWidth="1"/>
    <col min="7" max="7" width="12.140625" bestFit="1" customWidth="1"/>
    <col min="8" max="8" width="26.28515625" customWidth="1"/>
    <col min="9" max="9" width="29.85546875" customWidth="1"/>
    <col min="10" max="10" width="9.42578125" customWidth="1"/>
    <col min="11" max="11" width="9.5703125" customWidth="1"/>
    <col min="12" max="12" width="17" bestFit="1" customWidth="1"/>
  </cols>
  <sheetData>
    <row r="1" spans="2:13" ht="26.25" x14ac:dyDescent="0.4">
      <c r="B1" s="57" t="s">
        <v>181</v>
      </c>
    </row>
    <row r="2" spans="2:13" x14ac:dyDescent="0.25">
      <c r="L2" t="s">
        <v>518</v>
      </c>
      <c r="M2" s="76"/>
    </row>
    <row r="3" spans="2:13" ht="44.25" customHeight="1" thickBot="1" x14ac:dyDescent="0.4">
      <c r="B3" s="90" t="s">
        <v>402</v>
      </c>
      <c r="D3" t="s">
        <v>516</v>
      </c>
      <c r="I3" s="136" t="s">
        <v>571</v>
      </c>
      <c r="L3" t="s">
        <v>519</v>
      </c>
      <c r="M3" s="76"/>
    </row>
    <row r="4" spans="2:13" x14ac:dyDescent="0.25">
      <c r="B4" s="107" t="s">
        <v>408</v>
      </c>
      <c r="C4" s="108" t="s">
        <v>407</v>
      </c>
      <c r="D4" s="108" t="s">
        <v>404</v>
      </c>
      <c r="E4" s="108" t="s">
        <v>517</v>
      </c>
      <c r="F4" s="108" t="s">
        <v>405</v>
      </c>
      <c r="G4" s="108" t="s">
        <v>406</v>
      </c>
      <c r="H4" s="109" t="s">
        <v>243</v>
      </c>
      <c r="I4" s="133" t="s">
        <v>570</v>
      </c>
      <c r="L4" s="105" t="s">
        <v>422</v>
      </c>
      <c r="M4" s="106" t="s">
        <v>423</v>
      </c>
    </row>
    <row r="5" spans="2:13" x14ac:dyDescent="0.25">
      <c r="B5" s="110">
        <v>0</v>
      </c>
      <c r="C5" s="31">
        <f>HEX2DEC(B5)</f>
        <v>0</v>
      </c>
      <c r="D5" s="111" t="s">
        <v>416</v>
      </c>
      <c r="E5" s="111" t="s">
        <v>424</v>
      </c>
      <c r="F5" s="31" t="s">
        <v>409</v>
      </c>
      <c r="G5" s="31" t="s">
        <v>410</v>
      </c>
      <c r="H5" s="67"/>
      <c r="I5" s="134" t="s">
        <v>568</v>
      </c>
      <c r="L5" s="101">
        <v>6</v>
      </c>
      <c r="M5" s="102" t="s">
        <v>424</v>
      </c>
    </row>
    <row r="6" spans="2:13" x14ac:dyDescent="0.25">
      <c r="B6" s="110">
        <v>1</v>
      </c>
      <c r="C6" s="31">
        <f t="shared" ref="C6:C20" si="0">HEX2DEC(B6)</f>
        <v>1</v>
      </c>
      <c r="D6" s="111" t="s">
        <v>417</v>
      </c>
      <c r="E6" s="111" t="s">
        <v>424</v>
      </c>
      <c r="F6" s="31" t="s">
        <v>411</v>
      </c>
      <c r="G6" s="31" t="s">
        <v>410</v>
      </c>
      <c r="H6" s="67"/>
      <c r="I6" s="134" t="s">
        <v>568</v>
      </c>
      <c r="L6" s="101">
        <f>L5+3</f>
        <v>9</v>
      </c>
      <c r="M6" s="102" t="s">
        <v>425</v>
      </c>
    </row>
    <row r="7" spans="2:13" x14ac:dyDescent="0.25">
      <c r="B7" s="110">
        <v>2</v>
      </c>
      <c r="C7" s="31">
        <f t="shared" si="0"/>
        <v>2</v>
      </c>
      <c r="D7" s="111" t="s">
        <v>418</v>
      </c>
      <c r="E7" s="111" t="s">
        <v>424</v>
      </c>
      <c r="F7" s="31" t="s">
        <v>412</v>
      </c>
      <c r="G7" s="31" t="s">
        <v>410</v>
      </c>
      <c r="H7" s="67"/>
      <c r="I7" s="134" t="s">
        <v>568</v>
      </c>
      <c r="L7" s="101">
        <f t="shared" ref="L7:L16" si="1">L6+3</f>
        <v>12</v>
      </c>
      <c r="M7" s="102" t="s">
        <v>426</v>
      </c>
    </row>
    <row r="8" spans="2:13" x14ac:dyDescent="0.25">
      <c r="B8" s="110">
        <v>3</v>
      </c>
      <c r="C8" s="31">
        <f t="shared" si="0"/>
        <v>3</v>
      </c>
      <c r="D8" s="111" t="s">
        <v>419</v>
      </c>
      <c r="E8" s="111" t="s">
        <v>424</v>
      </c>
      <c r="F8" s="31" t="s">
        <v>413</v>
      </c>
      <c r="G8" s="31" t="s">
        <v>410</v>
      </c>
      <c r="H8" s="67"/>
      <c r="I8" s="134" t="s">
        <v>568</v>
      </c>
      <c r="L8" s="101">
        <f t="shared" si="1"/>
        <v>15</v>
      </c>
      <c r="M8" s="102" t="s">
        <v>427</v>
      </c>
    </row>
    <row r="9" spans="2:13" x14ac:dyDescent="0.25">
      <c r="B9" s="110">
        <v>4</v>
      </c>
      <c r="C9" s="31">
        <f t="shared" si="0"/>
        <v>4</v>
      </c>
      <c r="D9" s="111" t="s">
        <v>420</v>
      </c>
      <c r="E9" s="111" t="s">
        <v>424</v>
      </c>
      <c r="F9" s="31" t="s">
        <v>414</v>
      </c>
      <c r="G9" s="31" t="s">
        <v>410</v>
      </c>
      <c r="H9" s="67"/>
      <c r="I9" s="134" t="s">
        <v>568</v>
      </c>
      <c r="L9" s="101">
        <f t="shared" si="1"/>
        <v>18</v>
      </c>
      <c r="M9" s="102" t="s">
        <v>428</v>
      </c>
    </row>
    <row r="10" spans="2:13" x14ac:dyDescent="0.25">
      <c r="B10" s="110">
        <v>5</v>
      </c>
      <c r="C10" s="31">
        <f t="shared" si="0"/>
        <v>5</v>
      </c>
      <c r="D10" s="111" t="s">
        <v>421</v>
      </c>
      <c r="E10" s="111" t="s">
        <v>424</v>
      </c>
      <c r="F10" s="31" t="s">
        <v>415</v>
      </c>
      <c r="G10" s="31" t="s">
        <v>410</v>
      </c>
      <c r="H10" s="67"/>
      <c r="I10" s="134" t="s">
        <v>568</v>
      </c>
      <c r="L10" s="101">
        <f t="shared" si="1"/>
        <v>21</v>
      </c>
      <c r="M10" s="102" t="s">
        <v>429</v>
      </c>
    </row>
    <row r="11" spans="2:13" x14ac:dyDescent="0.25">
      <c r="B11" s="110">
        <v>6</v>
      </c>
      <c r="C11" s="31">
        <f t="shared" si="0"/>
        <v>6</v>
      </c>
      <c r="D11" s="111" t="s">
        <v>421</v>
      </c>
      <c r="E11" s="111" t="s">
        <v>424</v>
      </c>
      <c r="F11" s="31" t="s">
        <v>415</v>
      </c>
      <c r="G11" s="31" t="s">
        <v>410</v>
      </c>
      <c r="H11" s="67"/>
      <c r="I11" s="134" t="s">
        <v>568</v>
      </c>
      <c r="L11" s="101">
        <f t="shared" si="1"/>
        <v>24</v>
      </c>
      <c r="M11" s="102" t="s">
        <v>430</v>
      </c>
    </row>
    <row r="12" spans="2:13" ht="15.75" thickBot="1" x14ac:dyDescent="0.3">
      <c r="B12" s="116">
        <v>7</v>
      </c>
      <c r="C12" s="35">
        <f t="shared" si="0"/>
        <v>7</v>
      </c>
      <c r="D12" s="117" t="s">
        <v>421</v>
      </c>
      <c r="E12" s="117" t="s">
        <v>424</v>
      </c>
      <c r="F12" s="35" t="s">
        <v>415</v>
      </c>
      <c r="G12" s="35" t="s">
        <v>410</v>
      </c>
      <c r="H12" s="69"/>
      <c r="I12" s="134" t="s">
        <v>568</v>
      </c>
      <c r="L12" s="101">
        <f t="shared" si="1"/>
        <v>27</v>
      </c>
      <c r="M12" s="102" t="s">
        <v>431</v>
      </c>
    </row>
    <row r="13" spans="2:13" x14ac:dyDescent="0.25">
      <c r="B13" s="118">
        <v>10</v>
      </c>
      <c r="C13" s="119">
        <f t="shared" si="0"/>
        <v>16</v>
      </c>
      <c r="D13" s="120" t="s">
        <v>416</v>
      </c>
      <c r="E13" s="120" t="s">
        <v>425</v>
      </c>
      <c r="F13" s="28" t="s">
        <v>409</v>
      </c>
      <c r="G13" s="28" t="s">
        <v>410</v>
      </c>
      <c r="H13" s="29"/>
      <c r="I13" s="134" t="s">
        <v>568</v>
      </c>
      <c r="L13" s="101">
        <f t="shared" si="1"/>
        <v>30</v>
      </c>
      <c r="M13" s="102" t="s">
        <v>432</v>
      </c>
    </row>
    <row r="14" spans="2:13" x14ac:dyDescent="0.25">
      <c r="B14" s="115">
        <v>11</v>
      </c>
      <c r="C14" s="10">
        <f t="shared" si="0"/>
        <v>17</v>
      </c>
      <c r="D14" s="111" t="s">
        <v>417</v>
      </c>
      <c r="E14" s="111" t="s">
        <v>425</v>
      </c>
      <c r="F14" s="31" t="s">
        <v>411</v>
      </c>
      <c r="G14" s="31" t="s">
        <v>410</v>
      </c>
      <c r="H14" s="32"/>
      <c r="I14" s="134" t="s">
        <v>568</v>
      </c>
      <c r="L14" s="101">
        <f t="shared" si="1"/>
        <v>33</v>
      </c>
      <c r="M14" s="102" t="s">
        <v>433</v>
      </c>
    </row>
    <row r="15" spans="2:13" x14ac:dyDescent="0.25">
      <c r="B15" s="115">
        <v>12</v>
      </c>
      <c r="C15" s="10">
        <f t="shared" si="0"/>
        <v>18</v>
      </c>
      <c r="D15" s="111" t="s">
        <v>418</v>
      </c>
      <c r="E15" s="111" t="s">
        <v>425</v>
      </c>
      <c r="F15" s="31" t="s">
        <v>412</v>
      </c>
      <c r="G15" s="31" t="s">
        <v>410</v>
      </c>
      <c r="H15" s="32"/>
      <c r="I15" s="134" t="s">
        <v>568</v>
      </c>
      <c r="L15" s="101">
        <f t="shared" si="1"/>
        <v>36</v>
      </c>
      <c r="M15" s="102" t="s">
        <v>434</v>
      </c>
    </row>
    <row r="16" spans="2:13" ht="15.75" thickBot="1" x14ac:dyDescent="0.3">
      <c r="B16" s="115">
        <v>13</v>
      </c>
      <c r="C16" s="10">
        <f t="shared" si="0"/>
        <v>19</v>
      </c>
      <c r="D16" s="111" t="s">
        <v>419</v>
      </c>
      <c r="E16" s="111" t="s">
        <v>425</v>
      </c>
      <c r="F16" s="31" t="s">
        <v>413</v>
      </c>
      <c r="G16" s="31" t="s">
        <v>410</v>
      </c>
      <c r="H16" s="32"/>
      <c r="I16" s="134" t="s">
        <v>568</v>
      </c>
      <c r="L16" s="103">
        <f t="shared" si="1"/>
        <v>39</v>
      </c>
      <c r="M16" s="104" t="s">
        <v>435</v>
      </c>
    </row>
    <row r="17" spans="2:13" x14ac:dyDescent="0.25">
      <c r="B17" s="115">
        <v>14</v>
      </c>
      <c r="C17" s="10">
        <f t="shared" si="0"/>
        <v>20</v>
      </c>
      <c r="D17" s="111" t="s">
        <v>420</v>
      </c>
      <c r="E17" s="111" t="s">
        <v>425</v>
      </c>
      <c r="F17" s="31" t="s">
        <v>414</v>
      </c>
      <c r="G17" s="31" t="s">
        <v>410</v>
      </c>
      <c r="H17" s="32"/>
      <c r="I17" s="134" t="s">
        <v>568</v>
      </c>
      <c r="M17" s="76"/>
    </row>
    <row r="18" spans="2:13" x14ac:dyDescent="0.25">
      <c r="B18" s="115">
        <v>15</v>
      </c>
      <c r="C18" s="10">
        <f t="shared" si="0"/>
        <v>21</v>
      </c>
      <c r="D18" s="111" t="s">
        <v>421</v>
      </c>
      <c r="E18" s="111" t="s">
        <v>425</v>
      </c>
      <c r="F18" s="31" t="s">
        <v>415</v>
      </c>
      <c r="G18" s="31" t="s">
        <v>410</v>
      </c>
      <c r="H18" s="32"/>
      <c r="I18" s="134" t="s">
        <v>568</v>
      </c>
      <c r="M18" s="76"/>
    </row>
    <row r="19" spans="2:13" ht="15.75" thickBot="1" x14ac:dyDescent="0.3">
      <c r="B19" s="115">
        <v>16</v>
      </c>
      <c r="C19" s="10">
        <f t="shared" si="0"/>
        <v>22</v>
      </c>
      <c r="D19" s="111" t="s">
        <v>421</v>
      </c>
      <c r="E19" s="111" t="s">
        <v>425</v>
      </c>
      <c r="F19" s="31" t="s">
        <v>415</v>
      </c>
      <c r="G19" s="31" t="s">
        <v>410</v>
      </c>
      <c r="H19" s="32"/>
      <c r="I19" s="134" t="s">
        <v>568</v>
      </c>
      <c r="L19" s="87"/>
    </row>
    <row r="20" spans="2:13" ht="15.75" thickBot="1" x14ac:dyDescent="0.3">
      <c r="B20" s="121">
        <v>17</v>
      </c>
      <c r="C20" s="122">
        <f t="shared" si="0"/>
        <v>23</v>
      </c>
      <c r="D20" s="117" t="s">
        <v>421</v>
      </c>
      <c r="E20" s="117" t="s">
        <v>425</v>
      </c>
      <c r="F20" s="35" t="s">
        <v>415</v>
      </c>
      <c r="G20" s="35" t="s">
        <v>410</v>
      </c>
      <c r="H20" s="36"/>
      <c r="I20" s="134" t="s">
        <v>568</v>
      </c>
      <c r="L20" s="113" t="s">
        <v>495</v>
      </c>
      <c r="M20" s="29" t="s">
        <v>496</v>
      </c>
    </row>
    <row r="21" spans="2:13" x14ac:dyDescent="0.25">
      <c r="B21" s="118">
        <v>20</v>
      </c>
      <c r="C21" s="119">
        <f t="shared" ref="C21:C36" si="2">HEX2DEC(B21)</f>
        <v>32</v>
      </c>
      <c r="D21" s="120" t="s">
        <v>416</v>
      </c>
      <c r="E21" s="120" t="s">
        <v>426</v>
      </c>
      <c r="F21" s="28" t="s">
        <v>409</v>
      </c>
      <c r="G21" s="28" t="s">
        <v>410</v>
      </c>
      <c r="H21" s="29"/>
      <c r="I21" s="134" t="s">
        <v>568</v>
      </c>
      <c r="L21" s="30">
        <v>28000</v>
      </c>
      <c r="M21" s="32">
        <f>((125*L21)/65536)-6</f>
        <v>47.40576171875</v>
      </c>
    </row>
    <row r="22" spans="2:13" x14ac:dyDescent="0.25">
      <c r="B22" s="115">
        <v>21</v>
      </c>
      <c r="C22" s="10">
        <f t="shared" si="2"/>
        <v>33</v>
      </c>
      <c r="D22" s="111" t="s">
        <v>417</v>
      </c>
      <c r="E22" s="111" t="s">
        <v>426</v>
      </c>
      <c r="F22" s="31" t="s">
        <v>411</v>
      </c>
      <c r="G22" s="31" t="s">
        <v>410</v>
      </c>
      <c r="H22" s="32"/>
      <c r="I22" s="134" t="s">
        <v>568</v>
      </c>
      <c r="L22" s="114" t="s">
        <v>497</v>
      </c>
      <c r="M22" s="32"/>
    </row>
    <row r="23" spans="2:13" ht="15.75" thickBot="1" x14ac:dyDescent="0.3">
      <c r="B23" s="115">
        <v>22</v>
      </c>
      <c r="C23" s="10">
        <f t="shared" si="2"/>
        <v>34</v>
      </c>
      <c r="D23" s="111" t="s">
        <v>418</v>
      </c>
      <c r="E23" s="111" t="s">
        <v>426</v>
      </c>
      <c r="F23" s="31" t="s">
        <v>412</v>
      </c>
      <c r="G23" s="31" t="s">
        <v>410</v>
      </c>
      <c r="H23" s="32"/>
      <c r="I23" s="134" t="s">
        <v>568</v>
      </c>
      <c r="L23" s="34">
        <v>23000</v>
      </c>
      <c r="M23" s="36">
        <f>((175.72*L23)/65536)-46.85</f>
        <v>14.819311523437499</v>
      </c>
    </row>
    <row r="24" spans="2:13" x14ac:dyDescent="0.25">
      <c r="B24" s="115">
        <v>23</v>
      </c>
      <c r="C24" s="10">
        <f t="shared" si="2"/>
        <v>35</v>
      </c>
      <c r="D24" s="111" t="s">
        <v>419</v>
      </c>
      <c r="E24" s="111" t="s">
        <v>426</v>
      </c>
      <c r="F24" s="31" t="s">
        <v>413</v>
      </c>
      <c r="G24" s="31" t="s">
        <v>410</v>
      </c>
      <c r="H24" s="32"/>
      <c r="I24" s="134" t="s">
        <v>568</v>
      </c>
      <c r="L24" s="76"/>
    </row>
    <row r="25" spans="2:13" x14ac:dyDescent="0.25">
      <c r="B25" s="115">
        <v>24</v>
      </c>
      <c r="C25" s="10">
        <f t="shared" si="2"/>
        <v>36</v>
      </c>
      <c r="D25" s="111" t="s">
        <v>420</v>
      </c>
      <c r="E25" s="111" t="s">
        <v>426</v>
      </c>
      <c r="F25" s="31" t="s">
        <v>414</v>
      </c>
      <c r="G25" s="31" t="s">
        <v>410</v>
      </c>
      <c r="H25" s="32"/>
      <c r="I25" s="134" t="s">
        <v>568</v>
      </c>
      <c r="L25" s="76"/>
    </row>
    <row r="26" spans="2:13" x14ac:dyDescent="0.25">
      <c r="B26" s="115">
        <v>25</v>
      </c>
      <c r="C26" s="10">
        <f t="shared" si="2"/>
        <v>37</v>
      </c>
      <c r="D26" s="111" t="s">
        <v>421</v>
      </c>
      <c r="E26" s="111" t="s">
        <v>426</v>
      </c>
      <c r="F26" s="31" t="s">
        <v>415</v>
      </c>
      <c r="G26" s="31" t="s">
        <v>410</v>
      </c>
      <c r="H26" s="32"/>
      <c r="I26" s="134" t="s">
        <v>568</v>
      </c>
      <c r="L26" s="76"/>
    </row>
    <row r="27" spans="2:13" x14ac:dyDescent="0.25">
      <c r="B27" s="115">
        <v>26</v>
      </c>
      <c r="C27" s="10">
        <f t="shared" si="2"/>
        <v>38</v>
      </c>
      <c r="D27" s="111" t="s">
        <v>421</v>
      </c>
      <c r="E27" s="111" t="s">
        <v>426</v>
      </c>
      <c r="F27" s="31" t="s">
        <v>415</v>
      </c>
      <c r="G27" s="31" t="s">
        <v>410</v>
      </c>
      <c r="H27" s="32"/>
      <c r="I27" s="134" t="s">
        <v>568</v>
      </c>
    </row>
    <row r="28" spans="2:13" ht="15.75" thickBot="1" x14ac:dyDescent="0.3">
      <c r="B28" s="121">
        <v>27</v>
      </c>
      <c r="C28" s="122">
        <f t="shared" si="2"/>
        <v>39</v>
      </c>
      <c r="D28" s="117" t="s">
        <v>421</v>
      </c>
      <c r="E28" s="117" t="s">
        <v>426</v>
      </c>
      <c r="F28" s="35" t="s">
        <v>415</v>
      </c>
      <c r="G28" s="35" t="s">
        <v>410</v>
      </c>
      <c r="H28" s="36"/>
      <c r="I28" s="134" t="s">
        <v>568</v>
      </c>
    </row>
    <row r="29" spans="2:13" x14ac:dyDescent="0.25">
      <c r="B29" s="118">
        <v>30</v>
      </c>
      <c r="C29" s="119">
        <f t="shared" si="2"/>
        <v>48</v>
      </c>
      <c r="D29" s="120" t="s">
        <v>416</v>
      </c>
      <c r="E29" s="120" t="s">
        <v>427</v>
      </c>
      <c r="F29" s="28" t="s">
        <v>409</v>
      </c>
      <c r="G29" s="28" t="s">
        <v>410</v>
      </c>
      <c r="H29" s="29"/>
      <c r="I29" s="134" t="s">
        <v>568</v>
      </c>
      <c r="J29" s="112"/>
      <c r="K29" s="112"/>
    </row>
    <row r="30" spans="2:13" x14ac:dyDescent="0.25">
      <c r="B30" s="115">
        <v>31</v>
      </c>
      <c r="C30" s="10">
        <f t="shared" si="2"/>
        <v>49</v>
      </c>
      <c r="D30" s="111" t="s">
        <v>417</v>
      </c>
      <c r="E30" s="111" t="s">
        <v>427</v>
      </c>
      <c r="F30" s="31" t="s">
        <v>411</v>
      </c>
      <c r="G30" s="31" t="s">
        <v>410</v>
      </c>
      <c r="H30" s="32"/>
      <c r="I30" s="134" t="s">
        <v>568</v>
      </c>
      <c r="J30" s="112"/>
      <c r="K30" s="112"/>
    </row>
    <row r="31" spans="2:13" x14ac:dyDescent="0.25">
      <c r="B31" s="115">
        <v>32</v>
      </c>
      <c r="C31" s="10">
        <f t="shared" si="2"/>
        <v>50</v>
      </c>
      <c r="D31" s="111" t="s">
        <v>418</v>
      </c>
      <c r="E31" s="111" t="s">
        <v>427</v>
      </c>
      <c r="F31" s="31" t="s">
        <v>412</v>
      </c>
      <c r="G31" s="31" t="s">
        <v>410</v>
      </c>
      <c r="H31" s="32"/>
      <c r="I31" s="134" t="s">
        <v>568</v>
      </c>
      <c r="J31" s="112"/>
      <c r="K31" s="112"/>
    </row>
    <row r="32" spans="2:13" x14ac:dyDescent="0.25">
      <c r="B32" s="115">
        <v>33</v>
      </c>
      <c r="C32" s="10">
        <f t="shared" si="2"/>
        <v>51</v>
      </c>
      <c r="D32" s="111" t="s">
        <v>419</v>
      </c>
      <c r="E32" s="111" t="s">
        <v>427</v>
      </c>
      <c r="F32" s="31" t="s">
        <v>413</v>
      </c>
      <c r="G32" s="31" t="s">
        <v>410</v>
      </c>
      <c r="H32" s="32"/>
      <c r="I32" s="134" t="s">
        <v>568</v>
      </c>
    </row>
    <row r="33" spans="2:9" x14ac:dyDescent="0.25">
      <c r="B33" s="115">
        <v>34</v>
      </c>
      <c r="C33" s="10">
        <f t="shared" si="2"/>
        <v>52</v>
      </c>
      <c r="D33" s="111" t="s">
        <v>420</v>
      </c>
      <c r="E33" s="111" t="s">
        <v>427</v>
      </c>
      <c r="F33" s="31" t="s">
        <v>414</v>
      </c>
      <c r="G33" s="31" t="s">
        <v>410</v>
      </c>
      <c r="H33" s="32"/>
      <c r="I33" s="134" t="s">
        <v>568</v>
      </c>
    </row>
    <row r="34" spans="2:9" x14ac:dyDescent="0.25">
      <c r="B34" s="115">
        <v>35</v>
      </c>
      <c r="C34" s="10">
        <f t="shared" si="2"/>
        <v>53</v>
      </c>
      <c r="D34" s="111" t="s">
        <v>421</v>
      </c>
      <c r="E34" s="111" t="s">
        <v>427</v>
      </c>
      <c r="F34" s="31" t="s">
        <v>415</v>
      </c>
      <c r="G34" s="31" t="s">
        <v>410</v>
      </c>
      <c r="H34" s="32"/>
      <c r="I34" s="134" t="s">
        <v>568</v>
      </c>
    </row>
    <row r="35" spans="2:9" x14ac:dyDescent="0.25">
      <c r="B35" s="115">
        <v>36</v>
      </c>
      <c r="C35" s="10">
        <f t="shared" si="2"/>
        <v>54</v>
      </c>
      <c r="D35" s="111" t="s">
        <v>421</v>
      </c>
      <c r="E35" s="111" t="s">
        <v>427</v>
      </c>
      <c r="F35" s="31" t="s">
        <v>415</v>
      </c>
      <c r="G35" s="31" t="s">
        <v>410</v>
      </c>
      <c r="H35" s="32"/>
      <c r="I35" s="134" t="s">
        <v>568</v>
      </c>
    </row>
    <row r="36" spans="2:9" ht="15.75" thickBot="1" x14ac:dyDescent="0.3">
      <c r="B36" s="115">
        <v>37</v>
      </c>
      <c r="C36" s="10">
        <f t="shared" si="2"/>
        <v>55</v>
      </c>
      <c r="D36" s="111" t="s">
        <v>421</v>
      </c>
      <c r="E36" s="111" t="s">
        <v>427</v>
      </c>
      <c r="F36" s="31" t="s">
        <v>415</v>
      </c>
      <c r="G36" s="31" t="s">
        <v>410</v>
      </c>
      <c r="H36" s="32"/>
      <c r="I36" s="134" t="s">
        <v>568</v>
      </c>
    </row>
    <row r="37" spans="2:9" x14ac:dyDescent="0.25">
      <c r="B37" s="123">
        <v>40</v>
      </c>
      <c r="C37" s="28">
        <f>HEX2DEC(B37)</f>
        <v>64</v>
      </c>
      <c r="D37" s="120" t="s">
        <v>416</v>
      </c>
      <c r="E37" s="120" t="s">
        <v>428</v>
      </c>
      <c r="F37" s="28" t="s">
        <v>409</v>
      </c>
      <c r="G37" s="28" t="s">
        <v>410</v>
      </c>
      <c r="H37" s="124"/>
      <c r="I37" s="134" t="s">
        <v>568</v>
      </c>
    </row>
    <row r="38" spans="2:9" x14ac:dyDescent="0.25">
      <c r="B38" s="110">
        <v>41</v>
      </c>
      <c r="C38" s="31">
        <f t="shared" ref="C38:C68" si="3">HEX2DEC(B38)</f>
        <v>65</v>
      </c>
      <c r="D38" s="111" t="s">
        <v>417</v>
      </c>
      <c r="E38" s="111" t="s">
        <v>428</v>
      </c>
      <c r="F38" s="31" t="s">
        <v>411</v>
      </c>
      <c r="G38" s="31" t="s">
        <v>410</v>
      </c>
      <c r="H38" s="67"/>
      <c r="I38" s="134" t="s">
        <v>568</v>
      </c>
    </row>
    <row r="39" spans="2:9" x14ac:dyDescent="0.25">
      <c r="B39" s="110">
        <v>42</v>
      </c>
      <c r="C39" s="31">
        <f t="shared" si="3"/>
        <v>66</v>
      </c>
      <c r="D39" s="111" t="s">
        <v>418</v>
      </c>
      <c r="E39" s="111" t="s">
        <v>428</v>
      </c>
      <c r="F39" s="31" t="s">
        <v>412</v>
      </c>
      <c r="G39" s="31" t="s">
        <v>410</v>
      </c>
      <c r="H39" s="67"/>
      <c r="I39" s="134" t="s">
        <v>568</v>
      </c>
    </row>
    <row r="40" spans="2:9" x14ac:dyDescent="0.25">
      <c r="B40" s="110">
        <v>43</v>
      </c>
      <c r="C40" s="31">
        <f t="shared" si="3"/>
        <v>67</v>
      </c>
      <c r="D40" s="111" t="s">
        <v>419</v>
      </c>
      <c r="E40" s="111" t="s">
        <v>428</v>
      </c>
      <c r="F40" s="31" t="s">
        <v>413</v>
      </c>
      <c r="G40" s="31" t="s">
        <v>410</v>
      </c>
      <c r="H40" s="67"/>
      <c r="I40" s="134" t="s">
        <v>568</v>
      </c>
    </row>
    <row r="41" spans="2:9" x14ac:dyDescent="0.25">
      <c r="B41" s="110">
        <v>44</v>
      </c>
      <c r="C41" s="31">
        <f t="shared" si="3"/>
        <v>68</v>
      </c>
      <c r="D41" s="111" t="s">
        <v>420</v>
      </c>
      <c r="E41" s="111" t="s">
        <v>428</v>
      </c>
      <c r="F41" s="31" t="s">
        <v>414</v>
      </c>
      <c r="G41" s="31" t="s">
        <v>410</v>
      </c>
      <c r="H41" s="67"/>
      <c r="I41" s="134" t="s">
        <v>568</v>
      </c>
    </row>
    <row r="42" spans="2:9" x14ac:dyDescent="0.25">
      <c r="B42" s="110">
        <v>45</v>
      </c>
      <c r="C42" s="31">
        <f t="shared" si="3"/>
        <v>69</v>
      </c>
      <c r="D42" s="111" t="s">
        <v>421</v>
      </c>
      <c r="E42" s="111" t="s">
        <v>428</v>
      </c>
      <c r="F42" s="31" t="s">
        <v>415</v>
      </c>
      <c r="G42" s="31" t="s">
        <v>410</v>
      </c>
      <c r="H42" s="67"/>
      <c r="I42" s="134" t="s">
        <v>568</v>
      </c>
    </row>
    <row r="43" spans="2:9" x14ac:dyDescent="0.25">
      <c r="B43" s="110">
        <v>46</v>
      </c>
      <c r="C43" s="31">
        <f t="shared" si="3"/>
        <v>70</v>
      </c>
      <c r="D43" s="111" t="s">
        <v>421</v>
      </c>
      <c r="E43" s="111" t="s">
        <v>428</v>
      </c>
      <c r="F43" s="31" t="s">
        <v>415</v>
      </c>
      <c r="G43" s="31" t="s">
        <v>410</v>
      </c>
      <c r="H43" s="67"/>
      <c r="I43" s="134" t="s">
        <v>568</v>
      </c>
    </row>
    <row r="44" spans="2:9" ht="15.75" thickBot="1" x14ac:dyDescent="0.3">
      <c r="B44" s="116">
        <v>47</v>
      </c>
      <c r="C44" s="35">
        <f t="shared" si="3"/>
        <v>71</v>
      </c>
      <c r="D44" s="117" t="s">
        <v>421</v>
      </c>
      <c r="E44" s="117" t="s">
        <v>428</v>
      </c>
      <c r="F44" s="35" t="s">
        <v>415</v>
      </c>
      <c r="G44" s="35" t="s">
        <v>410</v>
      </c>
      <c r="H44" s="69"/>
      <c r="I44" s="134" t="s">
        <v>568</v>
      </c>
    </row>
    <row r="45" spans="2:9" x14ac:dyDescent="0.25">
      <c r="B45" s="115">
        <v>50</v>
      </c>
      <c r="C45" s="10">
        <f t="shared" si="3"/>
        <v>80</v>
      </c>
      <c r="D45" s="111" t="s">
        <v>416</v>
      </c>
      <c r="E45" s="111" t="s">
        <v>429</v>
      </c>
      <c r="F45" s="31" t="s">
        <v>409</v>
      </c>
      <c r="G45" s="31" t="s">
        <v>410</v>
      </c>
      <c r="H45" s="32"/>
      <c r="I45" s="134" t="s">
        <v>568</v>
      </c>
    </row>
    <row r="46" spans="2:9" x14ac:dyDescent="0.25">
      <c r="B46" s="115">
        <v>51</v>
      </c>
      <c r="C46" s="10">
        <f t="shared" si="3"/>
        <v>81</v>
      </c>
      <c r="D46" s="111" t="s">
        <v>417</v>
      </c>
      <c r="E46" s="111" t="s">
        <v>429</v>
      </c>
      <c r="F46" s="31" t="s">
        <v>411</v>
      </c>
      <c r="G46" s="31" t="s">
        <v>410</v>
      </c>
      <c r="H46" s="32"/>
      <c r="I46" s="134" t="s">
        <v>568</v>
      </c>
    </row>
    <row r="47" spans="2:9" x14ac:dyDescent="0.25">
      <c r="B47" s="115">
        <v>52</v>
      </c>
      <c r="C47" s="10">
        <f t="shared" si="3"/>
        <v>82</v>
      </c>
      <c r="D47" s="111" t="s">
        <v>418</v>
      </c>
      <c r="E47" s="111" t="s">
        <v>429</v>
      </c>
      <c r="F47" s="31" t="s">
        <v>412</v>
      </c>
      <c r="G47" s="31" t="s">
        <v>410</v>
      </c>
      <c r="H47" s="32"/>
      <c r="I47" s="134" t="s">
        <v>568</v>
      </c>
    </row>
    <row r="48" spans="2:9" x14ac:dyDescent="0.25">
      <c r="B48" s="115">
        <v>53</v>
      </c>
      <c r="C48" s="10">
        <f t="shared" si="3"/>
        <v>83</v>
      </c>
      <c r="D48" s="111" t="s">
        <v>419</v>
      </c>
      <c r="E48" s="111" t="s">
        <v>429</v>
      </c>
      <c r="F48" s="31" t="s">
        <v>413</v>
      </c>
      <c r="G48" s="31" t="s">
        <v>410</v>
      </c>
      <c r="H48" s="32"/>
      <c r="I48" s="134" t="s">
        <v>568</v>
      </c>
    </row>
    <row r="49" spans="2:9" x14ac:dyDescent="0.25">
      <c r="B49" s="115">
        <v>54</v>
      </c>
      <c r="C49" s="10">
        <f t="shared" si="3"/>
        <v>84</v>
      </c>
      <c r="D49" s="111" t="s">
        <v>420</v>
      </c>
      <c r="E49" s="111" t="s">
        <v>429</v>
      </c>
      <c r="F49" s="31" t="s">
        <v>414</v>
      </c>
      <c r="G49" s="31" t="s">
        <v>410</v>
      </c>
      <c r="H49" s="32"/>
      <c r="I49" s="134" t="s">
        <v>568</v>
      </c>
    </row>
    <row r="50" spans="2:9" x14ac:dyDescent="0.25">
      <c r="B50" s="115">
        <v>55</v>
      </c>
      <c r="C50" s="10">
        <f t="shared" si="3"/>
        <v>85</v>
      </c>
      <c r="D50" s="111" t="s">
        <v>421</v>
      </c>
      <c r="E50" s="111" t="s">
        <v>429</v>
      </c>
      <c r="F50" s="31" t="s">
        <v>415</v>
      </c>
      <c r="G50" s="31" t="s">
        <v>410</v>
      </c>
      <c r="H50" s="32"/>
      <c r="I50" s="134" t="s">
        <v>568</v>
      </c>
    </row>
    <row r="51" spans="2:9" x14ac:dyDescent="0.25">
      <c r="B51" s="115">
        <v>56</v>
      </c>
      <c r="C51" s="10">
        <f t="shared" si="3"/>
        <v>86</v>
      </c>
      <c r="D51" s="111" t="s">
        <v>421</v>
      </c>
      <c r="E51" s="111" t="s">
        <v>429</v>
      </c>
      <c r="F51" s="31" t="s">
        <v>415</v>
      </c>
      <c r="G51" s="31" t="s">
        <v>410</v>
      </c>
      <c r="H51" s="32"/>
      <c r="I51" s="134" t="s">
        <v>568</v>
      </c>
    </row>
    <row r="52" spans="2:9" ht="15.75" thickBot="1" x14ac:dyDescent="0.3">
      <c r="B52" s="121">
        <v>57</v>
      </c>
      <c r="C52" s="122">
        <f t="shared" si="3"/>
        <v>87</v>
      </c>
      <c r="D52" s="117" t="s">
        <v>421</v>
      </c>
      <c r="E52" s="117" t="s">
        <v>429</v>
      </c>
      <c r="F52" s="35" t="s">
        <v>415</v>
      </c>
      <c r="G52" s="35" t="s">
        <v>410</v>
      </c>
      <c r="H52" s="36"/>
      <c r="I52" s="134" t="s">
        <v>568</v>
      </c>
    </row>
    <row r="53" spans="2:9" x14ac:dyDescent="0.25">
      <c r="B53" s="118">
        <v>60</v>
      </c>
      <c r="C53" s="119">
        <f t="shared" si="3"/>
        <v>96</v>
      </c>
      <c r="D53" s="120" t="s">
        <v>416</v>
      </c>
      <c r="E53" s="120" t="s">
        <v>430</v>
      </c>
      <c r="F53" s="28" t="s">
        <v>409</v>
      </c>
      <c r="G53" s="28" t="s">
        <v>410</v>
      </c>
      <c r="H53" s="29"/>
      <c r="I53" s="134" t="s">
        <v>568</v>
      </c>
    </row>
    <row r="54" spans="2:9" x14ac:dyDescent="0.25">
      <c r="B54" s="115">
        <v>61</v>
      </c>
      <c r="C54" s="10">
        <f t="shared" si="3"/>
        <v>97</v>
      </c>
      <c r="D54" s="111" t="s">
        <v>417</v>
      </c>
      <c r="E54" s="111" t="s">
        <v>430</v>
      </c>
      <c r="F54" s="31" t="s">
        <v>411</v>
      </c>
      <c r="G54" s="31" t="s">
        <v>410</v>
      </c>
      <c r="H54" s="32"/>
      <c r="I54" s="134" t="s">
        <v>568</v>
      </c>
    </row>
    <row r="55" spans="2:9" x14ac:dyDescent="0.25">
      <c r="B55" s="115">
        <v>62</v>
      </c>
      <c r="C55" s="10">
        <f t="shared" si="3"/>
        <v>98</v>
      </c>
      <c r="D55" s="111" t="s">
        <v>418</v>
      </c>
      <c r="E55" s="111" t="s">
        <v>430</v>
      </c>
      <c r="F55" s="31" t="s">
        <v>412</v>
      </c>
      <c r="G55" s="31" t="s">
        <v>410</v>
      </c>
      <c r="H55" s="32"/>
      <c r="I55" s="134" t="s">
        <v>568</v>
      </c>
    </row>
    <row r="56" spans="2:9" x14ac:dyDescent="0.25">
      <c r="B56" s="115">
        <v>63</v>
      </c>
      <c r="C56" s="10">
        <f t="shared" si="3"/>
        <v>99</v>
      </c>
      <c r="D56" s="111" t="s">
        <v>419</v>
      </c>
      <c r="E56" s="111" t="s">
        <v>430</v>
      </c>
      <c r="F56" s="31" t="s">
        <v>413</v>
      </c>
      <c r="G56" s="31" t="s">
        <v>410</v>
      </c>
      <c r="H56" s="32"/>
      <c r="I56" s="134" t="s">
        <v>568</v>
      </c>
    </row>
    <row r="57" spans="2:9" x14ac:dyDescent="0.25">
      <c r="B57" s="115">
        <v>64</v>
      </c>
      <c r="C57" s="10">
        <f t="shared" si="3"/>
        <v>100</v>
      </c>
      <c r="D57" s="111" t="s">
        <v>420</v>
      </c>
      <c r="E57" s="111" t="s">
        <v>430</v>
      </c>
      <c r="F57" s="31" t="s">
        <v>414</v>
      </c>
      <c r="G57" s="31" t="s">
        <v>410</v>
      </c>
      <c r="H57" s="32"/>
      <c r="I57" s="134" t="s">
        <v>568</v>
      </c>
    </row>
    <row r="58" spans="2:9" x14ac:dyDescent="0.25">
      <c r="B58" s="115">
        <v>65</v>
      </c>
      <c r="C58" s="10">
        <f t="shared" si="3"/>
        <v>101</v>
      </c>
      <c r="D58" s="111" t="s">
        <v>421</v>
      </c>
      <c r="E58" s="111" t="s">
        <v>430</v>
      </c>
      <c r="F58" s="31" t="s">
        <v>415</v>
      </c>
      <c r="G58" s="31" t="s">
        <v>410</v>
      </c>
      <c r="H58" s="32"/>
      <c r="I58" s="134" t="s">
        <v>568</v>
      </c>
    </row>
    <row r="59" spans="2:9" x14ac:dyDescent="0.25">
      <c r="B59" s="115">
        <v>66</v>
      </c>
      <c r="C59" s="10">
        <f t="shared" si="3"/>
        <v>102</v>
      </c>
      <c r="D59" s="111" t="s">
        <v>421</v>
      </c>
      <c r="E59" s="111" t="s">
        <v>430</v>
      </c>
      <c r="F59" s="31" t="s">
        <v>415</v>
      </c>
      <c r="G59" s="31" t="s">
        <v>410</v>
      </c>
      <c r="H59" s="32"/>
      <c r="I59" s="134" t="s">
        <v>568</v>
      </c>
    </row>
    <row r="60" spans="2:9" ht="15.75" thickBot="1" x14ac:dyDescent="0.3">
      <c r="B60" s="121">
        <v>67</v>
      </c>
      <c r="C60" s="122">
        <f t="shared" si="3"/>
        <v>103</v>
      </c>
      <c r="D60" s="117" t="s">
        <v>421</v>
      </c>
      <c r="E60" s="117" t="s">
        <v>430</v>
      </c>
      <c r="F60" s="35" t="s">
        <v>415</v>
      </c>
      <c r="G60" s="35" t="s">
        <v>410</v>
      </c>
      <c r="H60" s="36"/>
      <c r="I60" s="134" t="s">
        <v>568</v>
      </c>
    </row>
    <row r="61" spans="2:9" x14ac:dyDescent="0.25">
      <c r="B61" s="118">
        <v>70</v>
      </c>
      <c r="C61" s="119">
        <f t="shared" si="3"/>
        <v>112</v>
      </c>
      <c r="D61" s="120" t="s">
        <v>416</v>
      </c>
      <c r="E61" s="120" t="s">
        <v>431</v>
      </c>
      <c r="F61" s="28" t="s">
        <v>409</v>
      </c>
      <c r="G61" s="28" t="s">
        <v>410</v>
      </c>
      <c r="H61" s="29"/>
      <c r="I61" s="134" t="s">
        <v>568</v>
      </c>
    </row>
    <row r="62" spans="2:9" x14ac:dyDescent="0.25">
      <c r="B62" s="115">
        <v>71</v>
      </c>
      <c r="C62" s="10">
        <f t="shared" si="3"/>
        <v>113</v>
      </c>
      <c r="D62" s="111" t="s">
        <v>417</v>
      </c>
      <c r="E62" s="111" t="s">
        <v>431</v>
      </c>
      <c r="F62" s="31" t="s">
        <v>411</v>
      </c>
      <c r="G62" s="31" t="s">
        <v>410</v>
      </c>
      <c r="H62" s="32"/>
      <c r="I62" s="134" t="s">
        <v>568</v>
      </c>
    </row>
    <row r="63" spans="2:9" x14ac:dyDescent="0.25">
      <c r="B63" s="115">
        <v>72</v>
      </c>
      <c r="C63" s="10">
        <f t="shared" si="3"/>
        <v>114</v>
      </c>
      <c r="D63" s="111" t="s">
        <v>418</v>
      </c>
      <c r="E63" s="111" t="s">
        <v>431</v>
      </c>
      <c r="F63" s="31" t="s">
        <v>412</v>
      </c>
      <c r="G63" s="31" t="s">
        <v>410</v>
      </c>
      <c r="H63" s="32"/>
      <c r="I63" s="134" t="s">
        <v>568</v>
      </c>
    </row>
    <row r="64" spans="2:9" x14ac:dyDescent="0.25">
      <c r="B64" s="115">
        <v>73</v>
      </c>
      <c r="C64" s="10">
        <f t="shared" si="3"/>
        <v>115</v>
      </c>
      <c r="D64" s="111" t="s">
        <v>419</v>
      </c>
      <c r="E64" s="111" t="s">
        <v>431</v>
      </c>
      <c r="F64" s="31" t="s">
        <v>413</v>
      </c>
      <c r="G64" s="31" t="s">
        <v>410</v>
      </c>
      <c r="H64" s="32"/>
      <c r="I64" s="134" t="s">
        <v>568</v>
      </c>
    </row>
    <row r="65" spans="2:9" x14ac:dyDescent="0.25">
      <c r="B65" s="115">
        <v>74</v>
      </c>
      <c r="C65" s="10">
        <f t="shared" si="3"/>
        <v>116</v>
      </c>
      <c r="D65" s="111" t="s">
        <v>420</v>
      </c>
      <c r="E65" s="111" t="s">
        <v>431</v>
      </c>
      <c r="F65" s="31" t="s">
        <v>414</v>
      </c>
      <c r="G65" s="31" t="s">
        <v>410</v>
      </c>
      <c r="H65" s="32"/>
      <c r="I65" s="134" t="s">
        <v>568</v>
      </c>
    </row>
    <row r="66" spans="2:9" x14ac:dyDescent="0.25">
      <c r="B66" s="115">
        <v>75</v>
      </c>
      <c r="C66" s="10">
        <f t="shared" si="3"/>
        <v>117</v>
      </c>
      <c r="D66" s="111" t="s">
        <v>421</v>
      </c>
      <c r="E66" s="111" t="s">
        <v>431</v>
      </c>
      <c r="F66" s="31" t="s">
        <v>415</v>
      </c>
      <c r="G66" s="31" t="s">
        <v>410</v>
      </c>
      <c r="H66" s="32"/>
      <c r="I66" s="134" t="s">
        <v>568</v>
      </c>
    </row>
    <row r="67" spans="2:9" x14ac:dyDescent="0.25">
      <c r="B67" s="115">
        <v>76</v>
      </c>
      <c r="C67" s="10">
        <f t="shared" si="3"/>
        <v>118</v>
      </c>
      <c r="D67" s="111" t="s">
        <v>421</v>
      </c>
      <c r="E67" s="111" t="s">
        <v>431</v>
      </c>
      <c r="F67" s="31" t="s">
        <v>415</v>
      </c>
      <c r="G67" s="31" t="s">
        <v>410</v>
      </c>
      <c r="H67" s="32"/>
      <c r="I67" s="134" t="s">
        <v>568</v>
      </c>
    </row>
    <row r="68" spans="2:9" ht="15.75" thickBot="1" x14ac:dyDescent="0.3">
      <c r="B68" s="121">
        <v>77</v>
      </c>
      <c r="C68" s="122">
        <f t="shared" si="3"/>
        <v>119</v>
      </c>
      <c r="D68" s="117" t="s">
        <v>421</v>
      </c>
      <c r="E68" s="117" t="s">
        <v>431</v>
      </c>
      <c r="F68" s="35" t="s">
        <v>415</v>
      </c>
      <c r="G68" s="35" t="s">
        <v>410</v>
      </c>
      <c r="H68" s="36"/>
      <c r="I68" s="134" t="s">
        <v>568</v>
      </c>
    </row>
    <row r="69" spans="2:9" x14ac:dyDescent="0.25">
      <c r="B69" s="123">
        <v>80</v>
      </c>
      <c r="C69" s="28">
        <f>HEX2DEC(B69)</f>
        <v>128</v>
      </c>
      <c r="D69" s="120" t="s">
        <v>416</v>
      </c>
      <c r="E69" s="120" t="s">
        <v>432</v>
      </c>
      <c r="F69" s="28" t="s">
        <v>409</v>
      </c>
      <c r="G69" s="28" t="s">
        <v>410</v>
      </c>
      <c r="H69" s="124"/>
      <c r="I69" s="134" t="s">
        <v>568</v>
      </c>
    </row>
    <row r="70" spans="2:9" x14ac:dyDescent="0.25">
      <c r="B70" s="110">
        <v>81</v>
      </c>
      <c r="C70" s="31">
        <f t="shared" ref="C70:C100" si="4">HEX2DEC(B70)</f>
        <v>129</v>
      </c>
      <c r="D70" s="111" t="s">
        <v>417</v>
      </c>
      <c r="E70" s="111" t="s">
        <v>432</v>
      </c>
      <c r="F70" s="31" t="s">
        <v>411</v>
      </c>
      <c r="G70" s="31" t="s">
        <v>410</v>
      </c>
      <c r="H70" s="67"/>
      <c r="I70" s="134" t="s">
        <v>568</v>
      </c>
    </row>
    <row r="71" spans="2:9" x14ac:dyDescent="0.25">
      <c r="B71" s="110">
        <v>82</v>
      </c>
      <c r="C71" s="31">
        <f t="shared" si="4"/>
        <v>130</v>
      </c>
      <c r="D71" s="111" t="s">
        <v>418</v>
      </c>
      <c r="E71" s="111" t="s">
        <v>432</v>
      </c>
      <c r="F71" s="31" t="s">
        <v>412</v>
      </c>
      <c r="G71" s="31" t="s">
        <v>410</v>
      </c>
      <c r="H71" s="67"/>
      <c r="I71" s="134" t="s">
        <v>568</v>
      </c>
    </row>
    <row r="72" spans="2:9" x14ac:dyDescent="0.25">
      <c r="B72" s="110">
        <v>83</v>
      </c>
      <c r="C72" s="31">
        <f t="shared" si="4"/>
        <v>131</v>
      </c>
      <c r="D72" s="111" t="s">
        <v>419</v>
      </c>
      <c r="E72" s="111" t="s">
        <v>432</v>
      </c>
      <c r="F72" s="31" t="s">
        <v>413</v>
      </c>
      <c r="G72" s="31" t="s">
        <v>410</v>
      </c>
      <c r="H72" s="67"/>
      <c r="I72" s="134" t="s">
        <v>568</v>
      </c>
    </row>
    <row r="73" spans="2:9" x14ac:dyDescent="0.25">
      <c r="B73" s="110">
        <v>84</v>
      </c>
      <c r="C73" s="31">
        <f t="shared" si="4"/>
        <v>132</v>
      </c>
      <c r="D73" s="111" t="s">
        <v>420</v>
      </c>
      <c r="E73" s="111" t="s">
        <v>432</v>
      </c>
      <c r="F73" s="31" t="s">
        <v>414</v>
      </c>
      <c r="G73" s="31" t="s">
        <v>410</v>
      </c>
      <c r="H73" s="67"/>
      <c r="I73" s="134" t="s">
        <v>568</v>
      </c>
    </row>
    <row r="74" spans="2:9" x14ac:dyDescent="0.25">
      <c r="B74" s="110">
        <v>85</v>
      </c>
      <c r="C74" s="31">
        <f t="shared" si="4"/>
        <v>133</v>
      </c>
      <c r="D74" s="111" t="s">
        <v>421</v>
      </c>
      <c r="E74" s="111" t="s">
        <v>432</v>
      </c>
      <c r="F74" s="31" t="s">
        <v>415</v>
      </c>
      <c r="G74" s="31" t="s">
        <v>410</v>
      </c>
      <c r="H74" s="67"/>
      <c r="I74" s="134" t="s">
        <v>568</v>
      </c>
    </row>
    <row r="75" spans="2:9" x14ac:dyDescent="0.25">
      <c r="B75" s="110">
        <v>86</v>
      </c>
      <c r="C75" s="31">
        <f t="shared" si="4"/>
        <v>134</v>
      </c>
      <c r="D75" s="111" t="s">
        <v>421</v>
      </c>
      <c r="E75" s="111" t="s">
        <v>432</v>
      </c>
      <c r="F75" s="31" t="s">
        <v>415</v>
      </c>
      <c r="G75" s="31" t="s">
        <v>410</v>
      </c>
      <c r="H75" s="67"/>
      <c r="I75" s="134" t="s">
        <v>568</v>
      </c>
    </row>
    <row r="76" spans="2:9" ht="15.75" thickBot="1" x14ac:dyDescent="0.3">
      <c r="B76" s="116">
        <v>87</v>
      </c>
      <c r="C76" s="35">
        <f t="shared" si="4"/>
        <v>135</v>
      </c>
      <c r="D76" s="117" t="s">
        <v>421</v>
      </c>
      <c r="E76" s="117" t="s">
        <v>432</v>
      </c>
      <c r="F76" s="35" t="s">
        <v>415</v>
      </c>
      <c r="G76" s="35" t="s">
        <v>410</v>
      </c>
      <c r="H76" s="69"/>
      <c r="I76" s="134" t="s">
        <v>568</v>
      </c>
    </row>
    <row r="77" spans="2:9" x14ac:dyDescent="0.25">
      <c r="B77" s="115">
        <v>90</v>
      </c>
      <c r="C77" s="10">
        <f t="shared" si="4"/>
        <v>144</v>
      </c>
      <c r="D77" s="111" t="s">
        <v>416</v>
      </c>
      <c r="E77" s="111" t="s">
        <v>433</v>
      </c>
      <c r="F77" s="31" t="s">
        <v>409</v>
      </c>
      <c r="G77" s="31" t="s">
        <v>410</v>
      </c>
      <c r="H77" s="32"/>
      <c r="I77" s="134" t="s">
        <v>568</v>
      </c>
    </row>
    <row r="78" spans="2:9" x14ac:dyDescent="0.25">
      <c r="B78" s="115">
        <v>91</v>
      </c>
      <c r="C78" s="10">
        <f t="shared" si="4"/>
        <v>145</v>
      </c>
      <c r="D78" s="111" t="s">
        <v>417</v>
      </c>
      <c r="E78" s="111" t="s">
        <v>433</v>
      </c>
      <c r="F78" s="31" t="s">
        <v>411</v>
      </c>
      <c r="G78" s="31" t="s">
        <v>410</v>
      </c>
      <c r="H78" s="32"/>
      <c r="I78" s="134" t="s">
        <v>568</v>
      </c>
    </row>
    <row r="79" spans="2:9" x14ac:dyDescent="0.25">
      <c r="B79" s="115">
        <v>92</v>
      </c>
      <c r="C79" s="10">
        <f t="shared" si="4"/>
        <v>146</v>
      </c>
      <c r="D79" s="111" t="s">
        <v>418</v>
      </c>
      <c r="E79" s="111" t="s">
        <v>433</v>
      </c>
      <c r="F79" s="31" t="s">
        <v>412</v>
      </c>
      <c r="G79" s="31" t="s">
        <v>410</v>
      </c>
      <c r="H79" s="32"/>
      <c r="I79" s="134" t="s">
        <v>568</v>
      </c>
    </row>
    <row r="80" spans="2:9" x14ac:dyDescent="0.25">
      <c r="B80" s="115">
        <v>93</v>
      </c>
      <c r="C80" s="10">
        <f t="shared" si="4"/>
        <v>147</v>
      </c>
      <c r="D80" s="111" t="s">
        <v>419</v>
      </c>
      <c r="E80" s="111" t="s">
        <v>433</v>
      </c>
      <c r="F80" s="31" t="s">
        <v>413</v>
      </c>
      <c r="G80" s="31" t="s">
        <v>410</v>
      </c>
      <c r="H80" s="32"/>
      <c r="I80" s="134" t="s">
        <v>568</v>
      </c>
    </row>
    <row r="81" spans="2:9" x14ac:dyDescent="0.25">
      <c r="B81" s="115">
        <v>94</v>
      </c>
      <c r="C81" s="10">
        <f t="shared" si="4"/>
        <v>148</v>
      </c>
      <c r="D81" s="111" t="s">
        <v>420</v>
      </c>
      <c r="E81" s="111" t="s">
        <v>433</v>
      </c>
      <c r="F81" s="31" t="s">
        <v>414</v>
      </c>
      <c r="G81" s="31" t="s">
        <v>410</v>
      </c>
      <c r="H81" s="32"/>
      <c r="I81" s="134" t="s">
        <v>568</v>
      </c>
    </row>
    <row r="82" spans="2:9" x14ac:dyDescent="0.25">
      <c r="B82" s="115">
        <v>95</v>
      </c>
      <c r="C82" s="10">
        <f t="shared" si="4"/>
        <v>149</v>
      </c>
      <c r="D82" s="111" t="s">
        <v>421</v>
      </c>
      <c r="E82" s="111" t="s">
        <v>433</v>
      </c>
      <c r="F82" s="31" t="s">
        <v>415</v>
      </c>
      <c r="G82" s="31" t="s">
        <v>410</v>
      </c>
      <c r="H82" s="32"/>
      <c r="I82" s="134" t="s">
        <v>568</v>
      </c>
    </row>
    <row r="83" spans="2:9" x14ac:dyDescent="0.25">
      <c r="B83" s="115">
        <v>96</v>
      </c>
      <c r="C83" s="10">
        <f t="shared" si="4"/>
        <v>150</v>
      </c>
      <c r="D83" s="111" t="s">
        <v>421</v>
      </c>
      <c r="E83" s="111" t="s">
        <v>433</v>
      </c>
      <c r="F83" s="31" t="s">
        <v>415</v>
      </c>
      <c r="G83" s="31" t="s">
        <v>410</v>
      </c>
      <c r="H83" s="32"/>
      <c r="I83" s="134" t="s">
        <v>568</v>
      </c>
    </row>
    <row r="84" spans="2:9" ht="15.75" thickBot="1" x14ac:dyDescent="0.3">
      <c r="B84" s="121">
        <v>97</v>
      </c>
      <c r="C84" s="122">
        <f t="shared" si="4"/>
        <v>151</v>
      </c>
      <c r="D84" s="117" t="s">
        <v>421</v>
      </c>
      <c r="E84" s="117" t="s">
        <v>433</v>
      </c>
      <c r="F84" s="35" t="s">
        <v>415</v>
      </c>
      <c r="G84" s="35" t="s">
        <v>410</v>
      </c>
      <c r="H84" s="36"/>
      <c r="I84" s="134" t="s">
        <v>568</v>
      </c>
    </row>
    <row r="85" spans="2:9" x14ac:dyDescent="0.25">
      <c r="B85" s="118" t="s">
        <v>513</v>
      </c>
      <c r="C85" s="119">
        <f t="shared" si="4"/>
        <v>160</v>
      </c>
      <c r="D85" s="120" t="s">
        <v>416</v>
      </c>
      <c r="E85" s="120" t="s">
        <v>434</v>
      </c>
      <c r="F85" s="28" t="s">
        <v>409</v>
      </c>
      <c r="G85" s="28" t="s">
        <v>410</v>
      </c>
      <c r="H85" s="29"/>
      <c r="I85" s="134" t="s">
        <v>568</v>
      </c>
    </row>
    <row r="86" spans="2:9" x14ac:dyDescent="0.25">
      <c r="B86" s="115" t="s">
        <v>514</v>
      </c>
      <c r="C86" s="10">
        <f t="shared" si="4"/>
        <v>161</v>
      </c>
      <c r="D86" s="111" t="s">
        <v>417</v>
      </c>
      <c r="E86" s="111" t="s">
        <v>434</v>
      </c>
      <c r="F86" s="31" t="s">
        <v>411</v>
      </c>
      <c r="G86" s="31" t="s">
        <v>410</v>
      </c>
      <c r="H86" s="32"/>
      <c r="I86" s="134" t="s">
        <v>568</v>
      </c>
    </row>
    <row r="87" spans="2:9" x14ac:dyDescent="0.25">
      <c r="B87" s="115" t="s">
        <v>515</v>
      </c>
      <c r="C87" s="10">
        <f t="shared" si="4"/>
        <v>162</v>
      </c>
      <c r="D87" s="111" t="s">
        <v>418</v>
      </c>
      <c r="E87" s="111" t="s">
        <v>434</v>
      </c>
      <c r="F87" s="31" t="s">
        <v>412</v>
      </c>
      <c r="G87" s="31" t="s">
        <v>410</v>
      </c>
      <c r="H87" s="32"/>
      <c r="I87" s="134" t="s">
        <v>568</v>
      </c>
    </row>
    <row r="88" spans="2:9" x14ac:dyDescent="0.25">
      <c r="B88" s="115" t="s">
        <v>520</v>
      </c>
      <c r="C88" s="10">
        <f t="shared" si="4"/>
        <v>163</v>
      </c>
      <c r="D88" s="111" t="s">
        <v>419</v>
      </c>
      <c r="E88" s="111" t="s">
        <v>434</v>
      </c>
      <c r="F88" s="31" t="s">
        <v>413</v>
      </c>
      <c r="G88" s="31" t="s">
        <v>410</v>
      </c>
      <c r="H88" s="32"/>
      <c r="I88" s="134" t="s">
        <v>568</v>
      </c>
    </row>
    <row r="89" spans="2:9" x14ac:dyDescent="0.25">
      <c r="B89" s="115" t="s">
        <v>521</v>
      </c>
      <c r="C89" s="10">
        <f t="shared" si="4"/>
        <v>164</v>
      </c>
      <c r="D89" s="111" t="s">
        <v>420</v>
      </c>
      <c r="E89" s="111" t="s">
        <v>434</v>
      </c>
      <c r="F89" s="31" t="s">
        <v>414</v>
      </c>
      <c r="G89" s="31" t="s">
        <v>410</v>
      </c>
      <c r="H89" s="32"/>
      <c r="I89" s="134" t="s">
        <v>568</v>
      </c>
    </row>
    <row r="90" spans="2:9" x14ac:dyDescent="0.25">
      <c r="B90" s="115" t="s">
        <v>522</v>
      </c>
      <c r="C90" s="10">
        <f t="shared" si="4"/>
        <v>165</v>
      </c>
      <c r="D90" s="111" t="s">
        <v>421</v>
      </c>
      <c r="E90" s="111" t="s">
        <v>434</v>
      </c>
      <c r="F90" s="31" t="s">
        <v>415</v>
      </c>
      <c r="G90" s="31" t="s">
        <v>410</v>
      </c>
      <c r="H90" s="32"/>
      <c r="I90" s="134" t="s">
        <v>568</v>
      </c>
    </row>
    <row r="91" spans="2:9" x14ac:dyDescent="0.25">
      <c r="B91" s="115" t="s">
        <v>523</v>
      </c>
      <c r="C91" s="10">
        <f t="shared" si="4"/>
        <v>166</v>
      </c>
      <c r="D91" s="111" t="s">
        <v>421</v>
      </c>
      <c r="E91" s="111" t="s">
        <v>434</v>
      </c>
      <c r="F91" s="31" t="s">
        <v>415</v>
      </c>
      <c r="G91" s="31" t="s">
        <v>410</v>
      </c>
      <c r="H91" s="32"/>
      <c r="I91" s="134" t="s">
        <v>568</v>
      </c>
    </row>
    <row r="92" spans="2:9" ht="15.75" thickBot="1" x14ac:dyDescent="0.3">
      <c r="B92" s="121" t="s">
        <v>524</v>
      </c>
      <c r="C92" s="122">
        <f t="shared" si="4"/>
        <v>167</v>
      </c>
      <c r="D92" s="117" t="s">
        <v>421</v>
      </c>
      <c r="E92" s="117" t="s">
        <v>434</v>
      </c>
      <c r="F92" s="35" t="s">
        <v>415</v>
      </c>
      <c r="G92" s="35" t="s">
        <v>410</v>
      </c>
      <c r="H92" s="36"/>
      <c r="I92" s="134" t="s">
        <v>568</v>
      </c>
    </row>
    <row r="93" spans="2:9" x14ac:dyDescent="0.25">
      <c r="B93" s="118" t="s">
        <v>525</v>
      </c>
      <c r="C93" s="119">
        <f t="shared" si="4"/>
        <v>176</v>
      </c>
      <c r="D93" s="120" t="s">
        <v>416</v>
      </c>
      <c r="E93" s="120" t="s">
        <v>435</v>
      </c>
      <c r="F93" s="28" t="s">
        <v>409</v>
      </c>
      <c r="G93" s="28" t="s">
        <v>410</v>
      </c>
      <c r="H93" s="29"/>
      <c r="I93" s="134" t="s">
        <v>568</v>
      </c>
    </row>
    <row r="94" spans="2:9" x14ac:dyDescent="0.25">
      <c r="B94" s="115" t="s">
        <v>526</v>
      </c>
      <c r="C94" s="10">
        <f t="shared" si="4"/>
        <v>177</v>
      </c>
      <c r="D94" s="111" t="s">
        <v>417</v>
      </c>
      <c r="E94" s="111" t="s">
        <v>435</v>
      </c>
      <c r="F94" s="31" t="s">
        <v>411</v>
      </c>
      <c r="G94" s="31" t="s">
        <v>410</v>
      </c>
      <c r="H94" s="32"/>
      <c r="I94" s="134" t="s">
        <v>568</v>
      </c>
    </row>
    <row r="95" spans="2:9" x14ac:dyDescent="0.25">
      <c r="B95" s="115" t="s">
        <v>527</v>
      </c>
      <c r="C95" s="10">
        <f t="shared" si="4"/>
        <v>178</v>
      </c>
      <c r="D95" s="111" t="s">
        <v>418</v>
      </c>
      <c r="E95" s="111" t="s">
        <v>435</v>
      </c>
      <c r="F95" s="31" t="s">
        <v>412</v>
      </c>
      <c r="G95" s="31" t="s">
        <v>410</v>
      </c>
      <c r="H95" s="32"/>
      <c r="I95" s="134" t="s">
        <v>568</v>
      </c>
    </row>
    <row r="96" spans="2:9" x14ac:dyDescent="0.25">
      <c r="B96" s="115" t="s">
        <v>528</v>
      </c>
      <c r="C96" s="10">
        <f t="shared" si="4"/>
        <v>179</v>
      </c>
      <c r="D96" s="111" t="s">
        <v>419</v>
      </c>
      <c r="E96" s="111" t="s">
        <v>435</v>
      </c>
      <c r="F96" s="31" t="s">
        <v>413</v>
      </c>
      <c r="G96" s="31" t="s">
        <v>410</v>
      </c>
      <c r="H96" s="32"/>
      <c r="I96" s="134" t="s">
        <v>568</v>
      </c>
    </row>
    <row r="97" spans="2:9" x14ac:dyDescent="0.25">
      <c r="B97" s="115" t="s">
        <v>529</v>
      </c>
      <c r="C97" s="10">
        <f t="shared" si="4"/>
        <v>180</v>
      </c>
      <c r="D97" s="111" t="s">
        <v>420</v>
      </c>
      <c r="E97" s="111" t="s">
        <v>435</v>
      </c>
      <c r="F97" s="31" t="s">
        <v>414</v>
      </c>
      <c r="G97" s="31" t="s">
        <v>410</v>
      </c>
      <c r="H97" s="32"/>
      <c r="I97" s="134" t="s">
        <v>568</v>
      </c>
    </row>
    <row r="98" spans="2:9" x14ac:dyDescent="0.25">
      <c r="B98" s="115" t="s">
        <v>530</v>
      </c>
      <c r="C98" s="10">
        <f t="shared" si="4"/>
        <v>181</v>
      </c>
      <c r="D98" s="111" t="s">
        <v>421</v>
      </c>
      <c r="E98" s="111" t="s">
        <v>435</v>
      </c>
      <c r="F98" s="31" t="s">
        <v>415</v>
      </c>
      <c r="G98" s="31" t="s">
        <v>410</v>
      </c>
      <c r="H98" s="32"/>
      <c r="I98" s="134" t="s">
        <v>568</v>
      </c>
    </row>
    <row r="99" spans="2:9" x14ac:dyDescent="0.25">
      <c r="B99" s="115" t="s">
        <v>531</v>
      </c>
      <c r="C99" s="10">
        <f t="shared" si="4"/>
        <v>182</v>
      </c>
      <c r="D99" s="111" t="s">
        <v>421</v>
      </c>
      <c r="E99" s="111" t="s">
        <v>435</v>
      </c>
      <c r="F99" s="31" t="s">
        <v>415</v>
      </c>
      <c r="G99" s="31" t="s">
        <v>410</v>
      </c>
      <c r="H99" s="32"/>
      <c r="I99" s="134" t="s">
        <v>568</v>
      </c>
    </row>
    <row r="100" spans="2:9" ht="15.75" thickBot="1" x14ac:dyDescent="0.3">
      <c r="B100" s="121" t="s">
        <v>532</v>
      </c>
      <c r="C100" s="122">
        <f t="shared" si="4"/>
        <v>183</v>
      </c>
      <c r="D100" s="117" t="s">
        <v>421</v>
      </c>
      <c r="E100" s="117" t="s">
        <v>435</v>
      </c>
      <c r="F100" s="35" t="s">
        <v>415</v>
      </c>
      <c r="G100" s="35" t="s">
        <v>410</v>
      </c>
      <c r="H100" s="36"/>
      <c r="I100" s="134" t="s">
        <v>568</v>
      </c>
    </row>
    <row r="101" spans="2:9" ht="15.75" thickBot="1" x14ac:dyDescent="0.3">
      <c r="B101" s="27" t="s">
        <v>129</v>
      </c>
      <c r="C101" s="28" t="s">
        <v>129</v>
      </c>
      <c r="D101" s="28" t="s">
        <v>129</v>
      </c>
      <c r="E101" s="28" t="s">
        <v>129</v>
      </c>
      <c r="F101" s="28" t="s">
        <v>129</v>
      </c>
      <c r="G101" s="28" t="s">
        <v>129</v>
      </c>
      <c r="H101" s="29" t="s">
        <v>533</v>
      </c>
      <c r="I101" s="134"/>
    </row>
    <row r="102" spans="2:9" x14ac:dyDescent="0.25">
      <c r="B102" s="123" t="s">
        <v>509</v>
      </c>
      <c r="C102" s="28">
        <f t="shared" ref="C102:C108" si="5">HEX2DEC(B102)</f>
        <v>240</v>
      </c>
      <c r="D102" s="125" t="s">
        <v>485</v>
      </c>
      <c r="E102" s="125"/>
      <c r="F102" s="119" t="s">
        <v>491</v>
      </c>
      <c r="G102" s="119" t="s">
        <v>489</v>
      </c>
      <c r="H102" s="29" t="s">
        <v>490</v>
      </c>
      <c r="I102" s="135" t="s">
        <v>569</v>
      </c>
    </row>
    <row r="103" spans="2:9" x14ac:dyDescent="0.25">
      <c r="B103" s="110" t="s">
        <v>510</v>
      </c>
      <c r="C103" s="31">
        <f t="shared" si="5"/>
        <v>241</v>
      </c>
      <c r="D103" s="87" t="s">
        <v>486</v>
      </c>
      <c r="E103" s="87"/>
      <c r="F103" s="10" t="s">
        <v>492</v>
      </c>
      <c r="G103" s="10" t="s">
        <v>489</v>
      </c>
      <c r="H103" s="32" t="s">
        <v>490</v>
      </c>
      <c r="I103" s="135" t="s">
        <v>569</v>
      </c>
    </row>
    <row r="104" spans="2:9" x14ac:dyDescent="0.25">
      <c r="B104" s="110" t="s">
        <v>511</v>
      </c>
      <c r="C104" s="31">
        <f t="shared" si="5"/>
        <v>242</v>
      </c>
      <c r="D104" s="87" t="s">
        <v>487</v>
      </c>
      <c r="E104" s="87"/>
      <c r="F104" s="10" t="s">
        <v>494</v>
      </c>
      <c r="G104" s="10" t="s">
        <v>489</v>
      </c>
      <c r="H104" s="32" t="s">
        <v>490</v>
      </c>
      <c r="I104" s="135" t="s">
        <v>569</v>
      </c>
    </row>
    <row r="105" spans="2:9" ht="15.75" thickBot="1" x14ac:dyDescent="0.3">
      <c r="B105" s="116" t="s">
        <v>512</v>
      </c>
      <c r="C105" s="35">
        <f t="shared" si="5"/>
        <v>243</v>
      </c>
      <c r="D105" s="126" t="s">
        <v>488</v>
      </c>
      <c r="E105" s="126"/>
      <c r="F105" s="122" t="s">
        <v>493</v>
      </c>
      <c r="G105" s="122" t="s">
        <v>489</v>
      </c>
      <c r="H105" s="36" t="s">
        <v>490</v>
      </c>
      <c r="I105" s="135" t="s">
        <v>569</v>
      </c>
    </row>
    <row r="106" spans="2:9" x14ac:dyDescent="0.25">
      <c r="B106" s="123" t="s">
        <v>508</v>
      </c>
      <c r="C106" s="28">
        <f t="shared" si="5"/>
        <v>253</v>
      </c>
      <c r="D106" s="125" t="s">
        <v>498</v>
      </c>
      <c r="E106" s="125"/>
      <c r="F106" s="119" t="s">
        <v>504</v>
      </c>
      <c r="G106" s="119" t="s">
        <v>501</v>
      </c>
      <c r="H106" s="29" t="s">
        <v>500</v>
      </c>
      <c r="I106" s="135" t="s">
        <v>569</v>
      </c>
    </row>
    <row r="107" spans="2:9" ht="15.75" thickBot="1" x14ac:dyDescent="0.3">
      <c r="B107" s="116" t="s">
        <v>507</v>
      </c>
      <c r="C107" s="122">
        <f t="shared" si="5"/>
        <v>254</v>
      </c>
      <c r="D107" s="126" t="s">
        <v>499</v>
      </c>
      <c r="E107" s="126"/>
      <c r="F107" s="122" t="s">
        <v>503</v>
      </c>
      <c r="G107" s="122" t="s">
        <v>502</v>
      </c>
      <c r="H107" s="36" t="s">
        <v>500</v>
      </c>
      <c r="I107" s="135" t="s">
        <v>569</v>
      </c>
    </row>
    <row r="108" spans="2:9" ht="15.75" thickBot="1" x14ac:dyDescent="0.3">
      <c r="B108" s="116" t="s">
        <v>436</v>
      </c>
      <c r="C108" s="35">
        <f t="shared" si="5"/>
        <v>255</v>
      </c>
      <c r="D108" s="35" t="s">
        <v>437</v>
      </c>
      <c r="E108" s="35"/>
      <c r="F108" s="35"/>
      <c r="G108" s="35"/>
      <c r="H108" s="36"/>
      <c r="I108" s="93"/>
    </row>
    <row r="111" spans="2:9" x14ac:dyDescent="0.25">
      <c r="B111" s="137"/>
    </row>
    <row r="112" spans="2:9" x14ac:dyDescent="0.25">
      <c r="B112" s="137"/>
    </row>
  </sheetData>
  <hyperlinks>
    <hyperlink ref="B1" location="Contents!A1" display="Contents!A1"/>
  </hyperlinks>
  <pageMargins left="0.7" right="0.7" top="0.75" bottom="0.75" header="0.3" footer="0.3"/>
  <pageSetup orientation="portrait" horizontalDpi="4294967293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B1" sqref="B1"/>
    </sheetView>
  </sheetViews>
  <sheetFormatPr defaultRowHeight="15" x14ac:dyDescent="0.25"/>
  <cols>
    <col min="4" max="4" width="16" bestFit="1" customWidth="1"/>
    <col min="5" max="5" width="16.5703125" bestFit="1" customWidth="1"/>
  </cols>
  <sheetData>
    <row r="1" spans="1:5" ht="26.25" x14ac:dyDescent="0.4">
      <c r="B1" s="57" t="s">
        <v>181</v>
      </c>
    </row>
    <row r="2" spans="1:5" ht="15.75" thickBot="1" x14ac:dyDescent="0.3"/>
    <row r="3" spans="1:5" x14ac:dyDescent="0.25">
      <c r="B3" s="130" t="s">
        <v>549</v>
      </c>
      <c r="C3" s="131" t="s">
        <v>550</v>
      </c>
      <c r="D3" s="131" t="s">
        <v>551</v>
      </c>
      <c r="E3" s="132" t="s">
        <v>552</v>
      </c>
    </row>
    <row r="4" spans="1:5" x14ac:dyDescent="0.25">
      <c r="A4">
        <v>0</v>
      </c>
      <c r="B4" s="30">
        <v>6144</v>
      </c>
      <c r="C4" s="31">
        <v>0.1875</v>
      </c>
      <c r="D4" s="31">
        <f>12000*C4</f>
        <v>2250</v>
      </c>
      <c r="E4" s="32"/>
    </row>
    <row r="5" spans="1:5" x14ac:dyDescent="0.25">
      <c r="A5">
        <v>1</v>
      </c>
      <c r="B5" s="30">
        <v>4096</v>
      </c>
      <c r="C5" s="31">
        <v>0.125</v>
      </c>
      <c r="D5" s="31">
        <f>12000*C5</f>
        <v>1500</v>
      </c>
      <c r="E5" s="32">
        <f>24000*C5</f>
        <v>3000</v>
      </c>
    </row>
    <row r="6" spans="1:5" x14ac:dyDescent="0.25">
      <c r="A6">
        <v>2</v>
      </c>
      <c r="B6" s="30">
        <v>2048</v>
      </c>
      <c r="C6" s="31">
        <v>6.25E-2</v>
      </c>
      <c r="D6" s="31">
        <f>12000*C6</f>
        <v>750</v>
      </c>
      <c r="E6" s="32">
        <f>24000*C6</f>
        <v>1500</v>
      </c>
    </row>
    <row r="7" spans="1:5" x14ac:dyDescent="0.25">
      <c r="A7">
        <v>3</v>
      </c>
      <c r="B7" s="30">
        <v>1024</v>
      </c>
      <c r="C7" s="31">
        <v>3.2149999999999998E-2</v>
      </c>
      <c r="D7" s="31">
        <f>12000*C7</f>
        <v>385.79999999999995</v>
      </c>
      <c r="E7" s="32">
        <f>24000*C7</f>
        <v>771.59999999999991</v>
      </c>
    </row>
    <row r="8" spans="1:5" x14ac:dyDescent="0.25">
      <c r="A8">
        <v>4</v>
      </c>
      <c r="B8" s="30">
        <v>512</v>
      </c>
      <c r="C8" s="31">
        <v>1.5625E-2</v>
      </c>
      <c r="D8" s="31">
        <f>12000*C8</f>
        <v>187.5</v>
      </c>
      <c r="E8" s="32">
        <f>24000*C8</f>
        <v>375</v>
      </c>
    </row>
    <row r="9" spans="1:5" ht="15.75" thickBot="1" x14ac:dyDescent="0.3">
      <c r="A9">
        <v>5</v>
      </c>
      <c r="B9" s="34">
        <v>256</v>
      </c>
      <c r="C9" s="35">
        <v>7.8130000000000005E-3</v>
      </c>
      <c r="D9" s="35"/>
      <c r="E9" s="36">
        <f>24000*C9</f>
        <v>187.512</v>
      </c>
    </row>
    <row r="10" spans="1:5" ht="30" x14ac:dyDescent="0.25">
      <c r="D10" s="75" t="s">
        <v>553</v>
      </c>
      <c r="E10" s="75" t="s">
        <v>554</v>
      </c>
    </row>
  </sheetData>
  <hyperlinks>
    <hyperlink ref="B1" location="Contents!A1" display="Contents!A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63"/>
  <sheetViews>
    <sheetView topLeftCell="A6" zoomScaleNormal="100" workbookViewId="0">
      <selection activeCell="L21" sqref="L21"/>
    </sheetView>
  </sheetViews>
  <sheetFormatPr defaultRowHeight="15" x14ac:dyDescent="0.25"/>
  <cols>
    <col min="2" max="2" width="19.85546875" customWidth="1"/>
    <col min="4" max="4" width="17.85546875" customWidth="1"/>
    <col min="5" max="5" width="12.85546875" customWidth="1"/>
    <col min="6" max="6" width="12.42578125" customWidth="1"/>
    <col min="7" max="7" width="12.7109375" customWidth="1"/>
    <col min="9" max="9" width="9.7109375" customWidth="1"/>
    <col min="12" max="12" width="14.140625" bestFit="1" customWidth="1"/>
    <col min="14" max="14" width="11.85546875" customWidth="1"/>
    <col min="15" max="15" width="14.140625" customWidth="1"/>
    <col min="16" max="16" width="14.140625" bestFit="1" customWidth="1"/>
    <col min="17" max="17" width="6.5703125" customWidth="1"/>
    <col min="18" max="18" width="19.85546875" customWidth="1"/>
    <col min="19" max="19" width="61.85546875" customWidth="1"/>
    <col min="22" max="22" width="39" customWidth="1"/>
  </cols>
  <sheetData>
    <row r="1" spans="2:22" ht="26.25" x14ac:dyDescent="0.4">
      <c r="B1" s="57" t="s">
        <v>181</v>
      </c>
    </row>
    <row r="3" spans="2:22" ht="37.5" customHeight="1" thickBot="1" x14ac:dyDescent="0.35">
      <c r="B3" s="219" t="s">
        <v>537</v>
      </c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129"/>
    </row>
    <row r="4" spans="2:22" x14ac:dyDescent="0.25">
      <c r="P4" s="18"/>
      <c r="Q4" s="18"/>
      <c r="R4" s="18"/>
      <c r="T4" s="19" t="s">
        <v>105</v>
      </c>
      <c r="U4" s="20" t="s">
        <v>106</v>
      </c>
      <c r="V4" s="21" t="s">
        <v>100</v>
      </c>
    </row>
    <row r="5" spans="2:22" x14ac:dyDescent="0.25">
      <c r="P5" s="18"/>
      <c r="Q5" s="18"/>
      <c r="R5" s="18"/>
      <c r="T5" s="22">
        <v>4</v>
      </c>
      <c r="U5" s="18">
        <v>3</v>
      </c>
      <c r="V5" s="23" t="s">
        <v>372</v>
      </c>
    </row>
    <row r="6" spans="2:22" s="75" customFormat="1" ht="30.75" thickBot="1" x14ac:dyDescent="0.3">
      <c r="B6" s="75" t="s">
        <v>538</v>
      </c>
      <c r="P6" s="142"/>
      <c r="Q6" s="142"/>
      <c r="R6" s="142"/>
      <c r="T6" s="22">
        <v>5</v>
      </c>
      <c r="U6" s="18" t="s">
        <v>283</v>
      </c>
      <c r="V6" s="143" t="s">
        <v>438</v>
      </c>
    </row>
    <row r="7" spans="2:22" x14ac:dyDescent="0.25">
      <c r="B7" s="145" t="s">
        <v>634</v>
      </c>
      <c r="C7" s="146">
        <v>7</v>
      </c>
      <c r="D7" s="146">
        <v>6</v>
      </c>
      <c r="E7" s="146">
        <v>5</v>
      </c>
      <c r="F7" s="146">
        <v>4</v>
      </c>
      <c r="G7" s="146">
        <v>3</v>
      </c>
      <c r="H7" s="146">
        <v>2</v>
      </c>
      <c r="I7" s="146">
        <v>1</v>
      </c>
      <c r="J7" s="147">
        <v>0</v>
      </c>
      <c r="T7" s="22">
        <v>6</v>
      </c>
      <c r="U7" s="18" t="s">
        <v>283</v>
      </c>
      <c r="V7" s="127" t="s">
        <v>535</v>
      </c>
    </row>
    <row r="8" spans="2:22" ht="15.75" thickBot="1" x14ac:dyDescent="0.3">
      <c r="B8" s="148" t="s">
        <v>635</v>
      </c>
      <c r="C8" s="149" t="s">
        <v>641</v>
      </c>
      <c r="D8" s="149" t="s">
        <v>641</v>
      </c>
      <c r="E8" s="149" t="s">
        <v>641</v>
      </c>
      <c r="F8" s="149" t="s">
        <v>640</v>
      </c>
      <c r="G8" s="149" t="s">
        <v>639</v>
      </c>
      <c r="H8" s="149" t="s">
        <v>638</v>
      </c>
      <c r="I8" s="149" t="s">
        <v>637</v>
      </c>
      <c r="J8" s="150" t="s">
        <v>636</v>
      </c>
      <c r="T8" s="22">
        <v>7</v>
      </c>
      <c r="U8" s="18" t="s">
        <v>283</v>
      </c>
      <c r="V8" s="23" t="s">
        <v>631</v>
      </c>
    </row>
    <row r="9" spans="2:22" ht="15.75" thickBot="1" x14ac:dyDescent="0.3">
      <c r="T9" s="22">
        <v>8</v>
      </c>
      <c r="U9" s="18" t="s">
        <v>283</v>
      </c>
      <c r="V9" s="23" t="s">
        <v>632</v>
      </c>
    </row>
    <row r="10" spans="2:22" ht="30.75" customHeight="1" thickBot="1" x14ac:dyDescent="0.3">
      <c r="B10" s="151" t="s">
        <v>636</v>
      </c>
      <c r="C10" s="220" t="s">
        <v>643</v>
      </c>
      <c r="D10" s="220"/>
      <c r="E10" s="220"/>
      <c r="F10" s="220"/>
      <c r="G10" s="220"/>
      <c r="H10" s="220"/>
      <c r="I10" s="220"/>
      <c r="J10" s="221"/>
      <c r="T10" s="22">
        <v>9</v>
      </c>
      <c r="U10" s="18" t="s">
        <v>283</v>
      </c>
      <c r="V10" s="23" t="s">
        <v>633</v>
      </c>
    </row>
    <row r="11" spans="2:22" ht="47.25" customHeight="1" thickBot="1" x14ac:dyDescent="0.3">
      <c r="B11" s="151" t="s">
        <v>642</v>
      </c>
      <c r="C11" s="220" t="s">
        <v>645</v>
      </c>
      <c r="D11" s="220"/>
      <c r="E11" s="220"/>
      <c r="F11" s="220"/>
      <c r="G11" s="220"/>
      <c r="H11" s="220"/>
      <c r="I11" s="220"/>
      <c r="J11" s="221"/>
      <c r="T11" s="24" t="s">
        <v>102</v>
      </c>
      <c r="U11" s="25" t="s">
        <v>102</v>
      </c>
      <c r="V11" s="26" t="s">
        <v>102</v>
      </c>
    </row>
    <row r="12" spans="2:22" ht="15.75" thickBot="1" x14ac:dyDescent="0.3">
      <c r="B12" s="144" t="s">
        <v>641</v>
      </c>
      <c r="C12" s="222" t="s">
        <v>644</v>
      </c>
      <c r="D12" s="222"/>
      <c r="E12" s="222"/>
      <c r="F12" s="222"/>
      <c r="G12" s="222"/>
      <c r="H12" s="222"/>
      <c r="I12" s="222"/>
      <c r="J12" s="223"/>
    </row>
    <row r="14" spans="2:22" ht="15.75" thickBot="1" x14ac:dyDescent="0.3">
      <c r="B14" t="s">
        <v>646</v>
      </c>
    </row>
    <row r="15" spans="2:22" ht="15.75" thickBot="1" x14ac:dyDescent="0.3">
      <c r="B15" s="152" t="s">
        <v>647</v>
      </c>
      <c r="C15" s="159"/>
      <c r="D15" s="159"/>
      <c r="E15" s="212" t="s">
        <v>681</v>
      </c>
      <c r="F15" s="213"/>
      <c r="G15" s="214"/>
      <c r="H15" s="159"/>
      <c r="I15" s="159"/>
      <c r="J15" s="160"/>
      <c r="L15" s="215" t="s">
        <v>706</v>
      </c>
      <c r="M15" s="215"/>
      <c r="N15" s="215"/>
      <c r="O15" s="215"/>
      <c r="P15" s="215"/>
      <c r="Q15" s="215"/>
      <c r="R15" s="215"/>
    </row>
    <row r="16" spans="2:22" ht="30" x14ac:dyDescent="0.25">
      <c r="B16" s="216">
        <v>1</v>
      </c>
      <c r="C16" s="28" t="s">
        <v>650</v>
      </c>
      <c r="D16" s="28" t="s">
        <v>243</v>
      </c>
      <c r="E16" s="164" t="s">
        <v>560</v>
      </c>
      <c r="F16" s="164" t="s">
        <v>561</v>
      </c>
      <c r="G16" s="164" t="s">
        <v>562</v>
      </c>
      <c r="H16" s="155" t="s">
        <v>560</v>
      </c>
      <c r="I16" s="155" t="s">
        <v>561</v>
      </c>
      <c r="J16" s="156" t="s">
        <v>562</v>
      </c>
      <c r="L16" s="11" t="s">
        <v>652</v>
      </c>
      <c r="M16" s="11" t="s">
        <v>653</v>
      </c>
      <c r="N16" s="11" t="s">
        <v>654</v>
      </c>
      <c r="O16" s="11" t="s">
        <v>655</v>
      </c>
      <c r="P16" s="11" t="s">
        <v>656</v>
      </c>
      <c r="Q16" s="11" t="s">
        <v>657</v>
      </c>
      <c r="R16" s="11" t="s">
        <v>658</v>
      </c>
      <c r="S16" s="182" t="s">
        <v>758</v>
      </c>
      <c r="U16" s="211" t="s">
        <v>659</v>
      </c>
      <c r="V16" s="211"/>
    </row>
    <row r="17" spans="2:22" x14ac:dyDescent="0.25">
      <c r="B17" s="217"/>
      <c r="C17" s="31" t="s">
        <v>428</v>
      </c>
      <c r="D17" s="31"/>
      <c r="E17" s="165" t="s">
        <v>680</v>
      </c>
      <c r="F17" s="165" t="s">
        <v>563</v>
      </c>
      <c r="G17" s="165" t="s">
        <v>583</v>
      </c>
      <c r="H17" s="157" t="str">
        <f>CONCATENATE("0x",BIN2HEX(RIGHT(E17,LEN(E17)-2),2))</f>
        <v>0x1C</v>
      </c>
      <c r="I17" s="157" t="str">
        <f>CONCATENATE("0x",BIN2HEX(RIGHT(F17,LEN(F17)-2),2))</f>
        <v>0x00</v>
      </c>
      <c r="J17" s="158" t="str">
        <f>CONCATENATE("0x",BIN2HEX(RIGHT(G17,LEN(G17)-2),2))</f>
        <v>0x03</v>
      </c>
      <c r="K17" s="161" t="s">
        <v>707</v>
      </c>
      <c r="L17" s="11" t="str">
        <f>INDEX($V$18:$V$25,MATCH(LEFT(RIGHT(E17,LEN(E17)-2-3),3),$U$18:$U$25,0))</f>
        <v>350k</v>
      </c>
      <c r="M17" s="11" t="str">
        <f>INDEX($V$27:$V$30,MATCH(LEFT(RIGHT(E17,LEN(E17)-2-6),2),$U$27:$U$30,0))</f>
        <v>10R</v>
      </c>
      <c r="N17" s="11" t="str">
        <f>INDEX($V$32:$V$33,MATCH(LEFT(RIGHT(F17,LEN(F17)-2),1),$U$32:$U$33,0))</f>
        <v>VDD</v>
      </c>
      <c r="O17" s="11" t="str">
        <f>INDEX($V$35:$V$38,MATCH(LEFT(RIGHT(F17,LEN(F17)-2-1),2),$U$35:$U$38,0))</f>
        <v>20%</v>
      </c>
      <c r="P17" s="11" t="str">
        <f>INDEX($V$40:$V$41,MATCH(LEFT(RIGHT(F17,LEN(F17)-2-3),1),$U$40:$U$41,0))</f>
        <v>NEG</v>
      </c>
      <c r="Q17" s="154">
        <f>INDEX($V$43:$V$56,MATCH(LEFT(RIGHT(F17,LEN(F17)-2-4),4),$U$43:$U$56,0))</f>
        <v>0</v>
      </c>
      <c r="R17" s="11" t="str">
        <f>INDEX($V$58:$V$63,MATCH(LEFT(RIGHT(G17,LEN(G17)-2-5),3),$U$58:$U$63,0))</f>
        <v>3-lead amperometric</v>
      </c>
      <c r="U17" t="s">
        <v>660</v>
      </c>
    </row>
    <row r="18" spans="2:22" x14ac:dyDescent="0.25">
      <c r="B18" s="217"/>
      <c r="C18" s="31" t="s">
        <v>433</v>
      </c>
      <c r="D18" s="31" t="s">
        <v>649</v>
      </c>
      <c r="E18" s="166"/>
      <c r="F18" s="166"/>
      <c r="G18" s="166"/>
      <c r="H18" s="31"/>
      <c r="I18" s="31"/>
      <c r="J18" s="32"/>
      <c r="U18" s="153" t="s">
        <v>661</v>
      </c>
      <c r="V18" t="s">
        <v>664</v>
      </c>
    </row>
    <row r="19" spans="2:22" ht="15.75" thickBot="1" x14ac:dyDescent="0.3">
      <c r="B19" s="218"/>
      <c r="C19" s="35" t="s">
        <v>648</v>
      </c>
      <c r="D19" s="35"/>
      <c r="E19" s="167"/>
      <c r="F19" s="167"/>
      <c r="G19" s="167"/>
      <c r="H19" s="35"/>
      <c r="I19" s="35"/>
      <c r="J19" s="36"/>
      <c r="U19" s="153" t="s">
        <v>662</v>
      </c>
      <c r="V19" t="s">
        <v>665</v>
      </c>
    </row>
    <row r="20" spans="2:22" ht="15" customHeight="1" x14ac:dyDescent="0.25">
      <c r="B20" s="216">
        <v>2</v>
      </c>
      <c r="C20" s="28" t="s">
        <v>650</v>
      </c>
      <c r="D20" s="28" t="s">
        <v>243</v>
      </c>
      <c r="E20" s="164" t="s">
        <v>560</v>
      </c>
      <c r="F20" s="164" t="s">
        <v>561</v>
      </c>
      <c r="G20" s="164" t="s">
        <v>562</v>
      </c>
      <c r="H20" s="155" t="s">
        <v>560</v>
      </c>
      <c r="I20" s="155" t="s">
        <v>561</v>
      </c>
      <c r="J20" s="156" t="s">
        <v>562</v>
      </c>
      <c r="U20" s="153" t="s">
        <v>663</v>
      </c>
      <c r="V20" t="s">
        <v>543</v>
      </c>
    </row>
    <row r="21" spans="2:22" ht="15" customHeight="1" x14ac:dyDescent="0.25">
      <c r="B21" s="217"/>
      <c r="C21" s="31" t="s">
        <v>424</v>
      </c>
      <c r="D21" s="31" t="s">
        <v>651</v>
      </c>
      <c r="E21" s="166" t="s">
        <v>708</v>
      </c>
      <c r="F21" s="166" t="s">
        <v>563</v>
      </c>
      <c r="G21" s="165" t="s">
        <v>583</v>
      </c>
      <c r="H21" s="157" t="str">
        <f>CONCATENATE("0x",BIN2HEX(RIGHT(E21,LEN(E21)-2),2))</f>
        <v>0x18</v>
      </c>
      <c r="I21" s="157" t="str">
        <f>CONCATENATE("0x",BIN2HEX(RIGHT(F21,LEN(F21)-2),2))</f>
        <v>0x00</v>
      </c>
      <c r="J21" s="158" t="str">
        <f>CONCATENATE("0x",BIN2HEX(RIGHT(G21,LEN(G21)-2),2))</f>
        <v>0x03</v>
      </c>
      <c r="K21" s="161" t="s">
        <v>707</v>
      </c>
      <c r="L21" s="11" t="str">
        <f>INDEX($V$18:$V$25,MATCH(LEFT(RIGHT(E21,LEN(E21)-2-3),3),$U$18:$U$25,0))</f>
        <v>120k</v>
      </c>
      <c r="M21" s="11" t="str">
        <f>INDEX($V$27:$V$30,MATCH(LEFT(RIGHT(E21,LEN(E21)-2-6),2),$U$27:$U$30,0))</f>
        <v>10R</v>
      </c>
      <c r="N21" s="11" t="str">
        <f>INDEX($V$32:$V$33,MATCH(LEFT(RIGHT(F21,LEN(F21)-2),1),$U$32:$U$33,0))</f>
        <v>VDD</v>
      </c>
      <c r="O21" s="11" t="str">
        <f>INDEX($V$35:$V$38,MATCH(LEFT(RIGHT(F21,LEN(F21)-2-1),2),$U$35:$U$38,0))</f>
        <v>20%</v>
      </c>
      <c r="P21" s="11" t="str">
        <f>INDEX($V$40:$V$41,MATCH(LEFT(RIGHT(F21,LEN(F21)-2-3),1),$U$40:$U$41,0))</f>
        <v>NEG</v>
      </c>
      <c r="Q21" s="154">
        <f>INDEX($V$43:$V$56,MATCH(LEFT(RIGHT(F21,LEN(F21)-2-4),4),$U$43:$U$56,0))</f>
        <v>0</v>
      </c>
      <c r="R21" s="11" t="str">
        <f>INDEX($V$58:$V$63,MATCH(LEFT(RIGHT(G21,LEN(G21)-2-5),3),$U$58:$U$63,0))</f>
        <v>3-lead amperometric</v>
      </c>
      <c r="S21" t="s">
        <v>737</v>
      </c>
      <c r="U21" s="153" t="s">
        <v>666</v>
      </c>
      <c r="V21" t="s">
        <v>558</v>
      </c>
    </row>
    <row r="22" spans="2:22" ht="15" customHeight="1" x14ac:dyDescent="0.25">
      <c r="B22" s="217"/>
      <c r="C22" s="31" t="s">
        <v>425</v>
      </c>
      <c r="D22" s="10" t="s">
        <v>223</v>
      </c>
      <c r="E22" s="166" t="s">
        <v>735</v>
      </c>
      <c r="F22" s="166" t="s">
        <v>564</v>
      </c>
      <c r="G22" s="165" t="s">
        <v>583</v>
      </c>
      <c r="H22" s="157" t="str">
        <f t="shared" ref="H22:H26" si="0">CONCATENATE("0x",BIN2HEX(RIGHT(E22,LEN(E22)-2),2))</f>
        <v>0x0E</v>
      </c>
      <c r="I22" s="157" t="str">
        <f t="shared" ref="I22:I26" si="1">CONCATENATE("0x",BIN2HEX(RIGHT(F22,LEN(F22)-2),2))</f>
        <v>0x40</v>
      </c>
      <c r="J22" s="158" t="str">
        <f t="shared" ref="J22:J26" si="2">CONCATENATE("0x",BIN2HEX(RIGHT(G22,LEN(G22)-2),2))</f>
        <v>0x03</v>
      </c>
      <c r="K22" s="161" t="s">
        <v>707</v>
      </c>
      <c r="L22" s="11" t="str">
        <f t="shared" ref="L22:L27" si="3">INDEX($V$18:$V$25,MATCH(LEFT(RIGHT(E22,LEN(E22)-2-3),3),$U$18:$U$25,0))</f>
        <v>7k</v>
      </c>
      <c r="M22" s="11" t="str">
        <f t="shared" ref="M22:M27" si="4">INDEX($V$27:$V$30,MATCH(LEFT(RIGHT(E22,LEN(E22)-2-6),2),$U$27:$U$30,0))</f>
        <v>50R</v>
      </c>
      <c r="N22" s="11" t="str">
        <f t="shared" ref="N22:N27" si="5">INDEX($V$32:$V$33,MATCH(LEFT(RIGHT(F22,LEN(F22)-2),1),$U$32:$U$33,0))</f>
        <v>VDD</v>
      </c>
      <c r="O22" s="11" t="str">
        <f t="shared" ref="O22:O27" si="6">INDEX($V$35:$V$38,MATCH(LEFT(RIGHT(F22,LEN(F22)-2-1),2),$U$35:$U$38,0))</f>
        <v>67%</v>
      </c>
      <c r="P22" s="11" t="str">
        <f t="shared" ref="P22:P27" si="7">INDEX($V$40:$V$41,MATCH(LEFT(RIGHT(F22,LEN(F22)-2-3),1),$U$40:$U$41,0))</f>
        <v>NEG</v>
      </c>
      <c r="Q22" s="154">
        <f t="shared" ref="Q22:Q27" si="8">INDEX($V$43:$V$56,MATCH(LEFT(RIGHT(F22,LEN(F22)-2-4),4),$U$43:$U$56,0))</f>
        <v>0</v>
      </c>
      <c r="R22" s="11" t="str">
        <f t="shared" ref="R22:R27" si="9">INDEX($V$58:$V$63,MATCH(LEFT(RIGHT(G22,LEN(G22)-2-5),3),$U$58:$U$63,0))</f>
        <v>3-lead amperometric</v>
      </c>
      <c r="S22" t="s">
        <v>736</v>
      </c>
      <c r="U22" s="153" t="s">
        <v>668</v>
      </c>
      <c r="V22" t="s">
        <v>539</v>
      </c>
    </row>
    <row r="23" spans="2:22" ht="15.75" customHeight="1" x14ac:dyDescent="0.25">
      <c r="B23" s="217"/>
      <c r="C23" s="31" t="s">
        <v>426</v>
      </c>
      <c r="D23" s="10" t="s">
        <v>545</v>
      </c>
      <c r="E23" s="166" t="s">
        <v>709</v>
      </c>
      <c r="F23" s="166" t="s">
        <v>564</v>
      </c>
      <c r="G23" s="165" t="s">
        <v>583</v>
      </c>
      <c r="H23" s="157" t="str">
        <f t="shared" si="0"/>
        <v>0x15</v>
      </c>
      <c r="I23" s="157" t="str">
        <f t="shared" si="1"/>
        <v>0x40</v>
      </c>
      <c r="J23" s="158" t="str">
        <f t="shared" si="2"/>
        <v>0x03</v>
      </c>
      <c r="K23" s="161" t="s">
        <v>707</v>
      </c>
      <c r="L23" s="11" t="str">
        <f t="shared" si="3"/>
        <v>35k</v>
      </c>
      <c r="M23" s="11" t="str">
        <f t="shared" si="4"/>
        <v>33R</v>
      </c>
      <c r="N23" s="11" t="str">
        <f t="shared" si="5"/>
        <v>VDD</v>
      </c>
      <c r="O23" s="11" t="str">
        <f t="shared" si="6"/>
        <v>67%</v>
      </c>
      <c r="P23" s="11" t="str">
        <f t="shared" si="7"/>
        <v>NEG</v>
      </c>
      <c r="Q23" s="154">
        <f t="shared" si="8"/>
        <v>0</v>
      </c>
      <c r="R23" s="11" t="str">
        <f t="shared" si="9"/>
        <v>3-lead amperometric</v>
      </c>
      <c r="S23" t="s">
        <v>755</v>
      </c>
      <c r="U23" s="153" t="s">
        <v>669</v>
      </c>
      <c r="V23" t="s">
        <v>546</v>
      </c>
    </row>
    <row r="24" spans="2:22" ht="15" customHeight="1" x14ac:dyDescent="0.25">
      <c r="B24" s="217"/>
      <c r="C24" s="81" t="s">
        <v>427</v>
      </c>
      <c r="D24" s="87" t="s">
        <v>542</v>
      </c>
      <c r="E24" s="168" t="s">
        <v>750</v>
      </c>
      <c r="F24" s="168" t="s">
        <v>710</v>
      </c>
      <c r="G24" s="176" t="s">
        <v>583</v>
      </c>
      <c r="H24" s="177" t="str">
        <f t="shared" si="0"/>
        <v>0x11</v>
      </c>
      <c r="I24" s="177" t="str">
        <f t="shared" si="1"/>
        <v>0x14</v>
      </c>
      <c r="J24" s="178" t="str">
        <f t="shared" si="2"/>
        <v>0x03</v>
      </c>
      <c r="K24" s="179" t="s">
        <v>707</v>
      </c>
      <c r="L24" s="180" t="str">
        <f t="shared" si="3"/>
        <v>14k</v>
      </c>
      <c r="M24" s="180" t="str">
        <f t="shared" si="4"/>
        <v>33R</v>
      </c>
      <c r="N24" s="180" t="str">
        <f t="shared" si="5"/>
        <v>VDD</v>
      </c>
      <c r="O24" s="180" t="str">
        <f t="shared" si="6"/>
        <v>20%</v>
      </c>
      <c r="P24" s="180" t="str">
        <f t="shared" si="7"/>
        <v>POS</v>
      </c>
      <c r="Q24" s="181">
        <f t="shared" si="8"/>
        <v>0.06</v>
      </c>
      <c r="R24" s="180" t="str">
        <f t="shared" si="9"/>
        <v>3-lead amperometric</v>
      </c>
      <c r="S24" t="s">
        <v>756</v>
      </c>
      <c r="U24" s="153" t="s">
        <v>670</v>
      </c>
      <c r="V24" t="s">
        <v>541</v>
      </c>
    </row>
    <row r="25" spans="2:22" ht="15" customHeight="1" x14ac:dyDescent="0.25">
      <c r="B25" s="217"/>
      <c r="C25" s="31" t="s">
        <v>428</v>
      </c>
      <c r="D25" s="87" t="s">
        <v>548</v>
      </c>
      <c r="E25" s="166" t="s">
        <v>753</v>
      </c>
      <c r="F25" s="166" t="s">
        <v>563</v>
      </c>
      <c r="G25" s="165" t="s">
        <v>583</v>
      </c>
      <c r="H25" s="157" t="str">
        <f t="shared" si="0"/>
        <v>0x19</v>
      </c>
      <c r="I25" s="157" t="str">
        <f t="shared" si="1"/>
        <v>0x00</v>
      </c>
      <c r="J25" s="158" t="str">
        <f t="shared" si="2"/>
        <v>0x03</v>
      </c>
      <c r="K25" s="161" t="s">
        <v>707</v>
      </c>
      <c r="L25" s="11" t="str">
        <f t="shared" si="3"/>
        <v>120k</v>
      </c>
      <c r="M25" s="11" t="str">
        <f t="shared" si="4"/>
        <v>33R</v>
      </c>
      <c r="N25" s="11" t="str">
        <f t="shared" si="5"/>
        <v>VDD</v>
      </c>
      <c r="O25" s="11" t="str">
        <f t="shared" si="6"/>
        <v>20%</v>
      </c>
      <c r="P25" s="11" t="str">
        <f t="shared" si="7"/>
        <v>NEG</v>
      </c>
      <c r="Q25" s="154">
        <f t="shared" si="8"/>
        <v>0</v>
      </c>
      <c r="R25" s="11" t="str">
        <f t="shared" si="9"/>
        <v>3-lead amperometric</v>
      </c>
      <c r="S25" t="s">
        <v>754</v>
      </c>
      <c r="U25" s="153" t="s">
        <v>667</v>
      </c>
      <c r="V25" t="s">
        <v>617</v>
      </c>
    </row>
    <row r="26" spans="2:22" ht="15" customHeight="1" x14ac:dyDescent="0.25">
      <c r="B26" s="217"/>
      <c r="C26" s="31" t="s">
        <v>429</v>
      </c>
      <c r="D26" s="87" t="s">
        <v>547</v>
      </c>
      <c r="E26" s="166" t="s">
        <v>753</v>
      </c>
      <c r="F26" s="166" t="s">
        <v>563</v>
      </c>
      <c r="G26" s="165" t="s">
        <v>583</v>
      </c>
      <c r="H26" s="157" t="str">
        <f t="shared" si="0"/>
        <v>0x19</v>
      </c>
      <c r="I26" s="157" t="str">
        <f t="shared" si="1"/>
        <v>0x00</v>
      </c>
      <c r="J26" s="158" t="str">
        <f t="shared" si="2"/>
        <v>0x03</v>
      </c>
      <c r="K26" s="161" t="s">
        <v>707</v>
      </c>
      <c r="L26" s="11" t="str">
        <f t="shared" si="3"/>
        <v>120k</v>
      </c>
      <c r="M26" s="11" t="str">
        <f t="shared" si="4"/>
        <v>33R</v>
      </c>
      <c r="N26" s="11" t="str">
        <f t="shared" si="5"/>
        <v>VDD</v>
      </c>
      <c r="O26" s="11" t="str">
        <f t="shared" si="6"/>
        <v>20%</v>
      </c>
      <c r="P26" s="11" t="str">
        <f t="shared" si="7"/>
        <v>NEG</v>
      </c>
      <c r="Q26" s="154">
        <f t="shared" si="8"/>
        <v>0</v>
      </c>
      <c r="R26" s="11" t="str">
        <f t="shared" si="9"/>
        <v>3-lead amperometric</v>
      </c>
      <c r="S26" t="s">
        <v>757</v>
      </c>
      <c r="U26" t="s">
        <v>653</v>
      </c>
    </row>
    <row r="27" spans="2:22" ht="15.75" customHeight="1" x14ac:dyDescent="0.25">
      <c r="B27" s="217"/>
      <c r="C27" s="81" t="s">
        <v>430</v>
      </c>
      <c r="D27" s="87" t="s">
        <v>760</v>
      </c>
      <c r="E27" s="166" t="s">
        <v>750</v>
      </c>
      <c r="F27" s="166" t="s">
        <v>563</v>
      </c>
      <c r="G27" s="165" t="s">
        <v>583</v>
      </c>
      <c r="H27" s="157" t="str">
        <f t="shared" ref="H27" si="10">CONCATENATE("0x",BIN2HEX(RIGHT(E27,LEN(E27)-2),2))</f>
        <v>0x11</v>
      </c>
      <c r="I27" s="157" t="str">
        <f t="shared" ref="I27" si="11">CONCATENATE("0x",BIN2HEX(RIGHT(F27,LEN(F27)-2),2))</f>
        <v>0x00</v>
      </c>
      <c r="J27" s="158" t="str">
        <f t="shared" ref="J27" si="12">CONCATENATE("0x",BIN2HEX(RIGHT(G27,LEN(G27)-2),2))</f>
        <v>0x03</v>
      </c>
      <c r="K27" s="161" t="s">
        <v>707</v>
      </c>
      <c r="L27" s="11" t="str">
        <f t="shared" si="3"/>
        <v>14k</v>
      </c>
      <c r="M27" s="11" t="str">
        <f t="shared" si="4"/>
        <v>33R</v>
      </c>
      <c r="N27" s="11" t="str">
        <f t="shared" si="5"/>
        <v>VDD</v>
      </c>
      <c r="O27" s="11" t="str">
        <f t="shared" si="6"/>
        <v>20%</v>
      </c>
      <c r="P27" s="11" t="str">
        <f t="shared" si="7"/>
        <v>NEG</v>
      </c>
      <c r="Q27" s="154">
        <f t="shared" si="8"/>
        <v>0</v>
      </c>
      <c r="R27" s="11" t="str">
        <f t="shared" si="9"/>
        <v>3-lead amperometric</v>
      </c>
      <c r="U27" s="153" t="s">
        <v>576</v>
      </c>
      <c r="V27" t="s">
        <v>673</v>
      </c>
    </row>
    <row r="28" spans="2:22" ht="15" customHeight="1" x14ac:dyDescent="0.25">
      <c r="B28" s="217"/>
      <c r="C28" s="31" t="s">
        <v>431</v>
      </c>
      <c r="D28" s="87" t="s">
        <v>759</v>
      </c>
      <c r="E28" s="157"/>
      <c r="F28" s="157"/>
      <c r="G28" s="157"/>
      <c r="H28" s="157"/>
      <c r="I28" s="157"/>
      <c r="J28" s="158"/>
      <c r="K28" s="161"/>
      <c r="L28" s="11"/>
      <c r="M28" s="11"/>
      <c r="N28" s="11"/>
      <c r="O28" s="11"/>
      <c r="P28" s="11"/>
      <c r="Q28" s="154"/>
      <c r="R28" s="11"/>
      <c r="U28" s="153" t="s">
        <v>577</v>
      </c>
      <c r="V28" t="s">
        <v>674</v>
      </c>
    </row>
    <row r="29" spans="2:22" ht="15" customHeight="1" x14ac:dyDescent="0.25">
      <c r="B29" s="217"/>
      <c r="C29" s="31" t="s">
        <v>433</v>
      </c>
      <c r="D29" s="166" t="s">
        <v>649</v>
      </c>
      <c r="E29" s="166"/>
      <c r="F29" s="166"/>
      <c r="G29" s="166"/>
      <c r="H29" s="157"/>
      <c r="I29" s="157"/>
      <c r="J29" s="158"/>
      <c r="K29" s="161"/>
      <c r="L29" s="11"/>
      <c r="M29" s="11"/>
      <c r="N29" s="11"/>
      <c r="O29" s="11"/>
      <c r="P29" s="11"/>
      <c r="Q29" s="154"/>
      <c r="R29" s="11"/>
      <c r="U29" s="153" t="s">
        <v>671</v>
      </c>
      <c r="V29" t="s">
        <v>675</v>
      </c>
    </row>
    <row r="30" spans="2:22" ht="15" customHeight="1" thickBot="1" x14ac:dyDescent="0.3">
      <c r="B30" s="218"/>
      <c r="C30" s="35" t="s">
        <v>434</v>
      </c>
      <c r="D30" s="35" t="s">
        <v>759</v>
      </c>
      <c r="E30" s="162"/>
      <c r="F30" s="162"/>
      <c r="G30" s="162"/>
      <c r="H30" s="162"/>
      <c r="I30" s="162"/>
      <c r="J30" s="163"/>
      <c r="K30" s="161"/>
      <c r="L30" s="11"/>
      <c r="M30" s="11"/>
      <c r="N30" s="11"/>
      <c r="O30" s="11"/>
      <c r="P30" s="11"/>
      <c r="Q30" s="154"/>
      <c r="R30" s="11"/>
      <c r="U30" s="153" t="s">
        <v>672</v>
      </c>
      <c r="V30" t="s">
        <v>676</v>
      </c>
    </row>
    <row r="31" spans="2:22" x14ac:dyDescent="0.25">
      <c r="B31" s="10"/>
      <c r="C31" s="10"/>
      <c r="D31" s="10"/>
      <c r="E31" s="10"/>
      <c r="F31" s="10"/>
      <c r="G31" s="137"/>
      <c r="H31" s="137"/>
      <c r="I31" s="10"/>
      <c r="J31" s="10"/>
      <c r="K31" s="10"/>
      <c r="L31" s="137"/>
      <c r="M31" s="137"/>
      <c r="N31" s="137"/>
      <c r="O31" s="137"/>
      <c r="P31" s="137"/>
      <c r="Q31" s="195"/>
      <c r="R31" s="137"/>
      <c r="U31" t="s">
        <v>654</v>
      </c>
    </row>
    <row r="32" spans="2:22" x14ac:dyDescent="0.25">
      <c r="B32" s="10"/>
      <c r="C32" s="10"/>
      <c r="D32" s="10"/>
      <c r="E32" s="166" t="s">
        <v>763</v>
      </c>
      <c r="F32" s="166" t="s">
        <v>764</v>
      </c>
      <c r="G32" s="165" t="s">
        <v>583</v>
      </c>
      <c r="H32" s="157" t="str">
        <f t="shared" ref="H32" si="13">CONCATENATE("0x",BIN2HEX(RIGHT(E32,LEN(E32)-2),2))</f>
        <v>0x10</v>
      </c>
      <c r="I32" s="157" t="str">
        <f t="shared" ref="I32" si="14">CONCATENATE("0x",BIN2HEX(RIGHT(F32,LEN(F32)-2),2))</f>
        <v>0x20</v>
      </c>
      <c r="J32" s="158" t="str">
        <f t="shared" ref="J32" si="15">CONCATENATE("0x",BIN2HEX(RIGHT(G32,LEN(G32)-2),2))</f>
        <v>0x03</v>
      </c>
      <c r="K32" s="10"/>
      <c r="L32" s="11" t="str">
        <f t="shared" ref="L32" si="16">INDEX($V$18:$V$25,MATCH(LEFT(RIGHT(E32,LEN(E32)-2-3),3),$U$18:$U$25,0))</f>
        <v>14k</v>
      </c>
      <c r="M32" s="11" t="str">
        <f t="shared" ref="M32" si="17">INDEX($V$27:$V$30,MATCH(LEFT(RIGHT(E32,LEN(E32)-2-6),2),$U$27:$U$30,0))</f>
        <v>10R</v>
      </c>
      <c r="N32" s="11" t="str">
        <f t="shared" ref="N32" si="18">INDEX($V$32:$V$33,MATCH(LEFT(RIGHT(F32,LEN(F32)-2),1),$U$32:$U$33,0))</f>
        <v>VDD</v>
      </c>
      <c r="O32" s="11" t="str">
        <f t="shared" ref="O32" si="19">INDEX($V$35:$V$38,MATCH(LEFT(RIGHT(F32,LEN(F32)-2-1),2),$U$35:$U$38,0))</f>
        <v>50%</v>
      </c>
      <c r="P32" s="11" t="str">
        <f t="shared" ref="P32" si="20">INDEX($V$40:$V$41,MATCH(LEFT(RIGHT(F32,LEN(F32)-2-3),1),$U$40:$U$41,0))</f>
        <v>NEG</v>
      </c>
      <c r="Q32" s="154">
        <f t="shared" ref="Q32" si="21">INDEX($V$43:$V$56,MATCH(LEFT(RIGHT(F32,LEN(F32)-2-4),4),$U$43:$U$56,0))</f>
        <v>0</v>
      </c>
      <c r="R32" s="11" t="str">
        <f t="shared" ref="R32" si="22">INDEX($V$58:$V$63,MATCH(LEFT(RIGHT(G32,LEN(G32)-2-5),3),$U$58:$U$63,0))</f>
        <v>3-lead amperometric</v>
      </c>
      <c r="U32" s="153" t="s">
        <v>677</v>
      </c>
      <c r="V32" t="s">
        <v>544</v>
      </c>
    </row>
    <row r="33" spans="2:22" x14ac:dyDescent="0.25">
      <c r="B33" s="10"/>
      <c r="C33" s="10"/>
      <c r="D33" s="10"/>
      <c r="E33" s="166" t="s">
        <v>763</v>
      </c>
      <c r="F33" s="166" t="s">
        <v>765</v>
      </c>
      <c r="G33" s="165" t="s">
        <v>583</v>
      </c>
      <c r="H33" s="157" t="str">
        <f t="shared" ref="H33" si="23">CONCATENATE("0x",BIN2HEX(RIGHT(E33,LEN(E33)-2),2))</f>
        <v>0x10</v>
      </c>
      <c r="I33" s="157" t="str">
        <f t="shared" ref="I33" si="24">CONCATENATE("0x",BIN2HEX(RIGHT(F33,LEN(F33)-2),2))</f>
        <v>0x21</v>
      </c>
      <c r="J33" s="158" t="str">
        <f t="shared" ref="J33" si="25">CONCATENATE("0x",BIN2HEX(RIGHT(G33,LEN(G33)-2),2))</f>
        <v>0x03</v>
      </c>
      <c r="K33" s="10"/>
      <c r="L33" s="11" t="str">
        <f t="shared" ref="L33" si="26">INDEX($V$18:$V$25,MATCH(LEFT(RIGHT(E33,LEN(E33)-2-3),3),$U$18:$U$25,0))</f>
        <v>14k</v>
      </c>
      <c r="M33" s="11" t="str">
        <f t="shared" ref="M33" si="27">INDEX($V$27:$V$30,MATCH(LEFT(RIGHT(E33,LEN(E33)-2-6),2),$U$27:$U$30,0))</f>
        <v>10R</v>
      </c>
      <c r="N33" s="11" t="str">
        <f t="shared" ref="N33" si="28">INDEX($V$32:$V$33,MATCH(LEFT(RIGHT(F33,LEN(F33)-2),1),$U$32:$U$33,0))</f>
        <v>VDD</v>
      </c>
      <c r="O33" s="11" t="str">
        <f t="shared" ref="O33" si="29">INDEX($V$35:$V$38,MATCH(LEFT(RIGHT(F33,LEN(F33)-2-1),2),$U$35:$U$38,0))</f>
        <v>50%</v>
      </c>
      <c r="P33" s="11" t="str">
        <f t="shared" ref="P33" si="30">INDEX($V$40:$V$41,MATCH(LEFT(RIGHT(F33,LEN(F33)-2-3),1),$U$40:$U$41,0))</f>
        <v>NEG</v>
      </c>
      <c r="Q33" s="154">
        <f t="shared" ref="Q33" si="31">INDEX($V$43:$V$56,MATCH(LEFT(RIGHT(F33,LEN(F33)-2-4),4),$U$43:$U$56,0))</f>
        <v>0.01</v>
      </c>
      <c r="R33" s="11" t="str">
        <f t="shared" ref="R33" si="32">INDEX($V$58:$V$63,MATCH(LEFT(RIGHT(G33,LEN(G33)-2-5),3),$U$58:$U$63,0))</f>
        <v>3-lead amperometric</v>
      </c>
      <c r="U33" s="153" t="s">
        <v>678</v>
      </c>
      <c r="V33" t="s">
        <v>679</v>
      </c>
    </row>
    <row r="34" spans="2:22" x14ac:dyDescent="0.25">
      <c r="B34" s="10"/>
      <c r="C34" s="10"/>
      <c r="D34" s="10"/>
      <c r="E34" s="166" t="s">
        <v>763</v>
      </c>
      <c r="F34" s="166" t="s">
        <v>766</v>
      </c>
      <c r="G34" s="165" t="s">
        <v>583</v>
      </c>
      <c r="H34" s="157" t="str">
        <f t="shared" ref="H34" si="33">CONCATENATE("0x",BIN2HEX(RIGHT(E34,LEN(E34)-2),2))</f>
        <v>0x10</v>
      </c>
      <c r="I34" s="157" t="str">
        <f t="shared" ref="I34" si="34">CONCATENATE("0x",BIN2HEX(RIGHT(F34,LEN(F34)-2),2))</f>
        <v>0x31</v>
      </c>
      <c r="J34" s="158" t="str">
        <f t="shared" ref="J34" si="35">CONCATENATE("0x",BIN2HEX(RIGHT(G34,LEN(G34)-2),2))</f>
        <v>0x03</v>
      </c>
      <c r="K34" s="10"/>
      <c r="L34" s="11" t="str">
        <f t="shared" ref="L34" si="36">INDEX($V$18:$V$25,MATCH(LEFT(RIGHT(E34,LEN(E34)-2-3),3),$U$18:$U$25,0))</f>
        <v>14k</v>
      </c>
      <c r="M34" s="11" t="str">
        <f t="shared" ref="M34" si="37">INDEX($V$27:$V$30,MATCH(LEFT(RIGHT(E34,LEN(E34)-2-6),2),$U$27:$U$30,0))</f>
        <v>10R</v>
      </c>
      <c r="N34" s="11" t="str">
        <f t="shared" ref="N34" si="38">INDEX($V$32:$V$33,MATCH(LEFT(RIGHT(F34,LEN(F34)-2),1),$U$32:$U$33,0))</f>
        <v>VDD</v>
      </c>
      <c r="O34" s="11" t="str">
        <f t="shared" ref="O34" si="39">INDEX($V$35:$V$38,MATCH(LEFT(RIGHT(F34,LEN(F34)-2-1),2),$U$35:$U$38,0))</f>
        <v>50%</v>
      </c>
      <c r="P34" s="11" t="str">
        <f t="shared" ref="P34" si="40">INDEX($V$40:$V$41,MATCH(LEFT(RIGHT(F34,LEN(F34)-2-3),1),$U$40:$U$41,0))</f>
        <v>POS</v>
      </c>
      <c r="Q34" s="154">
        <f t="shared" ref="Q34" si="41">INDEX($V$43:$V$56,MATCH(LEFT(RIGHT(F34,LEN(F34)-2-4),4),$U$43:$U$56,0))</f>
        <v>0.01</v>
      </c>
      <c r="R34" s="11" t="str">
        <f t="shared" ref="R34" si="42">INDEX($V$58:$V$63,MATCH(LEFT(RIGHT(G34,LEN(G34)-2-5),3),$U$58:$U$63,0))</f>
        <v>3-lead amperometric</v>
      </c>
      <c r="U34" t="s">
        <v>655</v>
      </c>
    </row>
    <row r="35" spans="2:22" x14ac:dyDescent="0.25">
      <c r="B35" s="10"/>
      <c r="C35" s="10"/>
      <c r="D35" s="10"/>
      <c r="E35" s="195"/>
      <c r="F35" s="195"/>
      <c r="G35" s="194"/>
      <c r="H35" s="194"/>
      <c r="I35" s="194"/>
      <c r="J35" s="194"/>
      <c r="K35" s="194"/>
      <c r="L35" s="194"/>
      <c r="M35" s="194"/>
      <c r="N35" s="10"/>
      <c r="O35" s="10"/>
      <c r="P35" s="10"/>
      <c r="Q35" s="10"/>
      <c r="R35" s="10"/>
      <c r="U35" s="153" t="s">
        <v>576</v>
      </c>
      <c r="V35" s="141" t="s">
        <v>683</v>
      </c>
    </row>
    <row r="36" spans="2:22" x14ac:dyDescent="0.25">
      <c r="B36" s="10"/>
      <c r="C36" s="10"/>
      <c r="D36" s="10"/>
      <c r="E36" s="137"/>
      <c r="F36" s="137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U36" s="153" t="s">
        <v>577</v>
      </c>
      <c r="V36" s="141" t="s">
        <v>684</v>
      </c>
    </row>
    <row r="37" spans="2:22" x14ac:dyDescent="0.25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U37" s="153" t="s">
        <v>671</v>
      </c>
      <c r="V37" s="141" t="s">
        <v>685</v>
      </c>
    </row>
    <row r="38" spans="2:22" x14ac:dyDescent="0.25"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U38" s="153" t="s">
        <v>672</v>
      </c>
      <c r="V38" t="s">
        <v>682</v>
      </c>
    </row>
    <row r="39" spans="2:22" x14ac:dyDescent="0.25"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94"/>
      <c r="M39" s="10"/>
      <c r="N39" s="10"/>
      <c r="O39" s="10"/>
      <c r="P39" s="10"/>
      <c r="Q39" s="10"/>
      <c r="R39" s="10"/>
      <c r="U39" t="s">
        <v>656</v>
      </c>
    </row>
    <row r="40" spans="2:22" x14ac:dyDescent="0.25"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94"/>
      <c r="M40" s="10"/>
      <c r="N40" s="10"/>
      <c r="O40" s="10"/>
      <c r="P40" s="10"/>
      <c r="Q40" s="10"/>
      <c r="R40" s="10"/>
      <c r="U40" s="153" t="s">
        <v>677</v>
      </c>
      <c r="V40" t="s">
        <v>687</v>
      </c>
    </row>
    <row r="41" spans="2:22" x14ac:dyDescent="0.25">
      <c r="B41" s="10"/>
      <c r="C41" s="10"/>
      <c r="D41" s="193"/>
      <c r="E41" s="193"/>
      <c r="F41" s="193"/>
      <c r="G41" s="193"/>
      <c r="H41" s="10"/>
      <c r="I41" s="10"/>
      <c r="J41" s="10"/>
      <c r="K41" s="194"/>
      <c r="L41" s="194"/>
      <c r="M41" s="10"/>
      <c r="N41" s="10"/>
      <c r="O41" s="10"/>
      <c r="P41" s="10"/>
      <c r="Q41" s="10"/>
      <c r="R41" s="10"/>
      <c r="U41" s="153" t="s">
        <v>678</v>
      </c>
      <c r="V41" t="s">
        <v>686</v>
      </c>
    </row>
    <row r="42" spans="2:22" x14ac:dyDescent="0.25"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94"/>
      <c r="M42" s="10"/>
      <c r="N42" s="10"/>
      <c r="O42" s="10"/>
      <c r="P42" s="10"/>
      <c r="Q42" s="10"/>
      <c r="R42" s="10"/>
      <c r="U42" t="s">
        <v>657</v>
      </c>
    </row>
    <row r="43" spans="2:22" x14ac:dyDescent="0.25">
      <c r="B43" s="183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U43" s="153" t="s">
        <v>688</v>
      </c>
      <c r="V43" s="141">
        <v>0</v>
      </c>
    </row>
    <row r="44" spans="2:22" x14ac:dyDescent="0.25">
      <c r="B44" s="183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U44" s="153" t="s">
        <v>689</v>
      </c>
      <c r="V44" s="141">
        <v>0.01</v>
      </c>
    </row>
    <row r="45" spans="2:22" x14ac:dyDescent="0.25">
      <c r="B45" s="183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U45" s="153" t="s">
        <v>690</v>
      </c>
      <c r="V45" s="141">
        <v>0.02</v>
      </c>
    </row>
    <row r="46" spans="2:22" x14ac:dyDescent="0.25">
      <c r="B46" s="183"/>
      <c r="C46" s="183"/>
      <c r="D46" s="183"/>
      <c r="E46" s="183"/>
      <c r="F46" s="183"/>
      <c r="G46" s="183"/>
      <c r="H46" s="183"/>
      <c r="I46" s="183"/>
      <c r="J46" s="183"/>
      <c r="K46" s="183"/>
      <c r="L46" s="183"/>
      <c r="M46" s="183"/>
      <c r="N46" s="183"/>
      <c r="O46" s="183"/>
      <c r="P46" s="183"/>
      <c r="Q46" s="183"/>
      <c r="R46" s="183"/>
      <c r="U46" s="153" t="s">
        <v>691</v>
      </c>
      <c r="V46" s="141">
        <v>0.04</v>
      </c>
    </row>
    <row r="47" spans="2:22" x14ac:dyDescent="0.25">
      <c r="B47" s="183"/>
      <c r="C47" s="183"/>
      <c r="D47" s="183"/>
      <c r="E47" s="183"/>
      <c r="F47" s="183"/>
      <c r="G47" s="183"/>
      <c r="H47" s="183"/>
      <c r="I47" s="183"/>
      <c r="J47" s="183"/>
      <c r="K47" s="183"/>
      <c r="L47" s="183"/>
      <c r="M47" s="183"/>
      <c r="N47" s="183"/>
      <c r="O47" s="183"/>
      <c r="P47" s="183"/>
      <c r="Q47" s="183"/>
      <c r="R47" s="183"/>
      <c r="U47" s="153" t="s">
        <v>692</v>
      </c>
      <c r="V47" s="141">
        <v>0.06</v>
      </c>
    </row>
    <row r="48" spans="2:22" x14ac:dyDescent="0.25">
      <c r="B48" s="183"/>
      <c r="C48" s="185"/>
      <c r="D48" s="185"/>
      <c r="E48" s="185"/>
      <c r="F48" s="185"/>
      <c r="G48" s="185"/>
      <c r="H48" s="185"/>
      <c r="I48" s="185"/>
      <c r="J48" s="185"/>
      <c r="K48" s="185"/>
      <c r="L48" s="185"/>
      <c r="M48" s="185"/>
      <c r="N48" s="185"/>
      <c r="O48" s="185"/>
      <c r="P48" s="183"/>
      <c r="Q48" s="183"/>
      <c r="R48" s="183"/>
      <c r="U48" s="153" t="s">
        <v>693</v>
      </c>
      <c r="V48" s="141">
        <v>0.08</v>
      </c>
    </row>
    <row r="49" spans="2:22" x14ac:dyDescent="0.25">
      <c r="B49" s="183"/>
      <c r="C49" s="183"/>
      <c r="D49" s="183"/>
      <c r="E49" s="183"/>
      <c r="F49" s="183"/>
      <c r="G49" s="183"/>
      <c r="H49" s="183"/>
      <c r="I49" s="183"/>
      <c r="J49" s="183"/>
      <c r="K49" s="183"/>
      <c r="L49" s="183"/>
      <c r="M49" s="183"/>
      <c r="N49" s="183"/>
      <c r="O49" s="183"/>
      <c r="P49" s="183"/>
      <c r="Q49" s="183"/>
      <c r="R49" s="183"/>
      <c r="U49" s="153" t="s">
        <v>694</v>
      </c>
      <c r="V49" s="141">
        <v>0.1</v>
      </c>
    </row>
    <row r="50" spans="2:22" x14ac:dyDescent="0.25">
      <c r="B50" s="183"/>
      <c r="C50" s="183"/>
      <c r="D50" s="183"/>
      <c r="E50" s="183"/>
      <c r="F50" s="183"/>
      <c r="G50" s="183"/>
      <c r="H50" s="183"/>
      <c r="I50" s="183"/>
      <c r="J50" s="183"/>
      <c r="K50" s="183"/>
      <c r="L50" s="183"/>
      <c r="M50" s="183"/>
      <c r="N50" s="183"/>
      <c r="O50" s="183"/>
      <c r="P50" s="183"/>
      <c r="Q50" s="183"/>
      <c r="R50" s="183"/>
      <c r="U50" s="153" t="s">
        <v>695</v>
      </c>
      <c r="V50" s="141">
        <v>0.12</v>
      </c>
    </row>
    <row r="51" spans="2:22" x14ac:dyDescent="0.25">
      <c r="B51" s="183"/>
      <c r="C51" s="183"/>
      <c r="D51" s="183"/>
      <c r="E51" s="185"/>
      <c r="F51" s="183"/>
      <c r="G51" s="183"/>
      <c r="H51" s="183"/>
      <c r="I51" s="183"/>
      <c r="J51" s="183"/>
      <c r="K51" s="183"/>
      <c r="L51" s="183"/>
      <c r="M51" s="183"/>
      <c r="N51" s="183"/>
      <c r="O51" s="183"/>
      <c r="P51" s="183"/>
      <c r="Q51" s="183"/>
      <c r="R51" s="183"/>
      <c r="U51" s="153" t="s">
        <v>696</v>
      </c>
      <c r="V51" s="141">
        <v>0.14000000000000001</v>
      </c>
    </row>
    <row r="52" spans="2:22" x14ac:dyDescent="0.25">
      <c r="B52" s="183"/>
      <c r="C52" s="183"/>
      <c r="D52" s="183"/>
      <c r="E52" s="183"/>
      <c r="F52" s="183"/>
      <c r="G52" s="183"/>
      <c r="H52" s="183"/>
      <c r="I52" s="183"/>
      <c r="J52" s="183"/>
      <c r="K52" s="183"/>
      <c r="L52" s="183"/>
      <c r="M52" s="183"/>
      <c r="N52" s="183"/>
      <c r="O52" s="183"/>
      <c r="P52" s="183"/>
      <c r="Q52" s="183"/>
      <c r="R52" s="183"/>
      <c r="U52" s="153" t="s">
        <v>697</v>
      </c>
      <c r="V52" s="141">
        <v>0.16</v>
      </c>
    </row>
    <row r="53" spans="2:22" x14ac:dyDescent="0.25">
      <c r="B53" s="183"/>
      <c r="C53" s="183"/>
      <c r="D53" s="183"/>
      <c r="E53" s="183"/>
      <c r="F53" s="183"/>
      <c r="G53" s="183"/>
      <c r="H53" s="183"/>
      <c r="I53" s="183"/>
      <c r="J53" s="183"/>
      <c r="K53" s="183"/>
      <c r="L53" s="183"/>
      <c r="M53" s="183"/>
      <c r="N53" s="183"/>
      <c r="O53" s="183"/>
      <c r="P53" s="183"/>
      <c r="Q53" s="183"/>
      <c r="R53" s="183"/>
      <c r="U53" s="153" t="s">
        <v>698</v>
      </c>
      <c r="V53" s="141">
        <v>0.18</v>
      </c>
    </row>
    <row r="54" spans="2:22" x14ac:dyDescent="0.25">
      <c r="B54" s="183"/>
      <c r="C54" s="183"/>
      <c r="D54" s="185"/>
      <c r="E54" s="186"/>
      <c r="F54" s="184"/>
      <c r="G54" s="183"/>
      <c r="H54" s="183"/>
      <c r="I54" s="183"/>
      <c r="J54" s="183"/>
      <c r="K54" s="183"/>
      <c r="L54" s="183"/>
      <c r="M54" s="183"/>
      <c r="N54" s="183"/>
      <c r="O54" s="183"/>
      <c r="P54" s="183"/>
      <c r="Q54" s="183"/>
      <c r="R54" s="183"/>
      <c r="U54" s="153" t="s">
        <v>699</v>
      </c>
      <c r="V54" s="141">
        <v>0.2</v>
      </c>
    </row>
    <row r="55" spans="2:22" x14ac:dyDescent="0.25">
      <c r="B55" s="183"/>
      <c r="C55" s="183"/>
      <c r="D55" s="187"/>
      <c r="E55" s="188"/>
      <c r="F55" s="184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U55" s="153" t="s">
        <v>700</v>
      </c>
      <c r="V55" s="141">
        <v>0.22</v>
      </c>
    </row>
    <row r="56" spans="2:22" x14ac:dyDescent="0.25">
      <c r="B56" s="183"/>
      <c r="C56" s="183"/>
      <c r="D56" s="187"/>
      <c r="E56" s="188"/>
      <c r="F56" s="184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U56" s="153" t="s">
        <v>701</v>
      </c>
      <c r="V56" s="141">
        <v>0.24</v>
      </c>
    </row>
    <row r="57" spans="2:22" x14ac:dyDescent="0.25">
      <c r="B57" s="183"/>
      <c r="C57" s="183"/>
      <c r="D57" s="185"/>
      <c r="E57" s="186"/>
      <c r="F57" s="184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U57" s="153" t="s">
        <v>658</v>
      </c>
    </row>
    <row r="58" spans="2:22" x14ac:dyDescent="0.25">
      <c r="B58" s="183"/>
      <c r="C58" s="183"/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U58" s="153" t="s">
        <v>661</v>
      </c>
      <c r="V58" t="s">
        <v>711</v>
      </c>
    </row>
    <row r="59" spans="2:22" x14ac:dyDescent="0.25">
      <c r="B59" s="183"/>
      <c r="C59" s="183"/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U59" s="153" t="s">
        <v>662</v>
      </c>
      <c r="V59" t="s">
        <v>702</v>
      </c>
    </row>
    <row r="60" spans="2:22" x14ac:dyDescent="0.25">
      <c r="U60" s="153" t="s">
        <v>663</v>
      </c>
      <c r="V60" t="s">
        <v>703</v>
      </c>
    </row>
    <row r="61" spans="2:22" x14ac:dyDescent="0.25">
      <c r="U61" s="153" t="s">
        <v>666</v>
      </c>
      <c r="V61" t="s">
        <v>587</v>
      </c>
    </row>
    <row r="62" spans="2:22" x14ac:dyDescent="0.25">
      <c r="U62" s="153" t="s">
        <v>670</v>
      </c>
      <c r="V62" t="s">
        <v>704</v>
      </c>
    </row>
    <row r="63" spans="2:22" x14ac:dyDescent="0.25">
      <c r="U63" s="153" t="s">
        <v>667</v>
      </c>
      <c r="V63" t="s">
        <v>705</v>
      </c>
    </row>
  </sheetData>
  <mergeCells count="9">
    <mergeCell ref="U16:V16"/>
    <mergeCell ref="E15:G15"/>
    <mergeCell ref="L15:R15"/>
    <mergeCell ref="B20:B30"/>
    <mergeCell ref="B3:L3"/>
    <mergeCell ref="C10:J10"/>
    <mergeCell ref="C11:J11"/>
    <mergeCell ref="C12:J12"/>
    <mergeCell ref="B16:B19"/>
  </mergeCells>
  <hyperlinks>
    <hyperlink ref="B1" location="Contents!A1" display="Contents!A1"/>
    <hyperlink ref="V7" location="'Sensor configuration set'!A1" display="Sensor configuration set"/>
  </hyperlink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topLeftCell="A11" workbookViewId="0">
      <selection activeCell="P57" sqref="P57"/>
    </sheetView>
  </sheetViews>
  <sheetFormatPr defaultRowHeight="15" x14ac:dyDescent="0.25"/>
  <cols>
    <col min="2" max="2" width="12.7109375" customWidth="1"/>
    <col min="4" max="4" width="12.7109375" customWidth="1"/>
    <col min="5" max="5" width="12" customWidth="1"/>
    <col min="6" max="6" width="11.140625" customWidth="1"/>
    <col min="7" max="7" width="13.85546875" customWidth="1"/>
    <col min="10" max="10" width="17.140625" customWidth="1"/>
    <col min="11" max="11" width="9.5703125" bestFit="1" customWidth="1"/>
    <col min="12" max="12" width="14.140625" bestFit="1" customWidth="1"/>
  </cols>
  <sheetData>
    <row r="1" spans="1:16" ht="26.25" x14ac:dyDescent="0.4">
      <c r="B1" s="57" t="s">
        <v>181</v>
      </c>
    </row>
    <row r="3" spans="1:16" x14ac:dyDescent="0.25">
      <c r="B3" t="s">
        <v>560</v>
      </c>
      <c r="C3" t="s">
        <v>585</v>
      </c>
      <c r="D3" t="s">
        <v>546</v>
      </c>
      <c r="I3" t="s">
        <v>586</v>
      </c>
      <c r="P3" s="56" t="s">
        <v>578</v>
      </c>
    </row>
    <row r="4" spans="1:16" x14ac:dyDescent="0.25">
      <c r="B4" t="s">
        <v>561</v>
      </c>
      <c r="C4" t="s">
        <v>584</v>
      </c>
    </row>
    <row r="5" spans="1:16" x14ac:dyDescent="0.25">
      <c r="B5" t="s">
        <v>562</v>
      </c>
      <c r="C5" t="s">
        <v>583</v>
      </c>
      <c r="D5" t="s">
        <v>587</v>
      </c>
    </row>
    <row r="7" spans="1:16" x14ac:dyDescent="0.25">
      <c r="B7" t="s">
        <v>580</v>
      </c>
      <c r="C7" t="s">
        <v>581</v>
      </c>
    </row>
    <row r="9" spans="1:16" x14ac:dyDescent="0.25">
      <c r="D9" t="s">
        <v>410</v>
      </c>
      <c r="E9" t="s">
        <v>410</v>
      </c>
    </row>
    <row r="10" spans="1:16" x14ac:dyDescent="0.25">
      <c r="D10" t="s">
        <v>428</v>
      </c>
      <c r="E10" t="s">
        <v>430</v>
      </c>
    </row>
    <row r="11" spans="1:16" x14ac:dyDescent="0.25">
      <c r="A11" t="s">
        <v>561</v>
      </c>
      <c r="B11" t="s">
        <v>561</v>
      </c>
      <c r="C11" t="s">
        <v>579</v>
      </c>
      <c r="D11" t="s">
        <v>612</v>
      </c>
      <c r="E11" t="s">
        <v>613</v>
      </c>
    </row>
    <row r="12" spans="1:16" x14ac:dyDescent="0.25">
      <c r="A12" t="s">
        <v>599</v>
      </c>
      <c r="C12">
        <v>1</v>
      </c>
      <c r="D12">
        <v>998.1</v>
      </c>
      <c r="E12">
        <v>997.4</v>
      </c>
    </row>
    <row r="13" spans="1:16" x14ac:dyDescent="0.25">
      <c r="A13" t="s">
        <v>600</v>
      </c>
      <c r="C13">
        <v>6</v>
      </c>
      <c r="D13">
        <v>1006.7</v>
      </c>
      <c r="E13">
        <v>1006.15</v>
      </c>
    </row>
    <row r="14" spans="1:16" x14ac:dyDescent="0.25">
      <c r="A14" t="s">
        <v>593</v>
      </c>
      <c r="B14" t="s">
        <v>582</v>
      </c>
      <c r="C14">
        <v>12</v>
      </c>
      <c r="D14">
        <v>1017</v>
      </c>
      <c r="E14">
        <v>1016.55</v>
      </c>
    </row>
    <row r="15" spans="1:16" x14ac:dyDescent="0.25">
      <c r="A15" t="s">
        <v>594</v>
      </c>
      <c r="B15" t="s">
        <v>588</v>
      </c>
      <c r="C15">
        <v>14</v>
      </c>
      <c r="D15">
        <v>1020.45</v>
      </c>
      <c r="E15">
        <v>1020</v>
      </c>
    </row>
    <row r="16" spans="1:16" x14ac:dyDescent="0.25">
      <c r="A16" t="s">
        <v>592</v>
      </c>
      <c r="B16" t="s">
        <v>589</v>
      </c>
      <c r="C16">
        <v>16</v>
      </c>
      <c r="D16">
        <v>1023.55</v>
      </c>
      <c r="E16">
        <v>1023.9</v>
      </c>
    </row>
    <row r="17" spans="1:6" x14ac:dyDescent="0.25">
      <c r="A17" t="s">
        <v>595</v>
      </c>
      <c r="B17" t="s">
        <v>590</v>
      </c>
      <c r="C17">
        <v>18</v>
      </c>
      <c r="D17">
        <v>1027.3</v>
      </c>
      <c r="E17">
        <v>1027</v>
      </c>
    </row>
    <row r="18" spans="1:6" x14ac:dyDescent="0.25">
      <c r="A18" t="s">
        <v>596</v>
      </c>
      <c r="B18" t="s">
        <v>591</v>
      </c>
      <c r="C18">
        <v>20</v>
      </c>
      <c r="D18">
        <v>1030.7</v>
      </c>
      <c r="E18">
        <v>1030.4000000000001</v>
      </c>
    </row>
    <row r="19" spans="1:6" x14ac:dyDescent="0.25">
      <c r="A19" t="s">
        <v>597</v>
      </c>
      <c r="B19" t="s">
        <v>598</v>
      </c>
      <c r="C19">
        <v>24</v>
      </c>
      <c r="D19">
        <v>1030.7</v>
      </c>
      <c r="E19">
        <v>1030.3699999999999</v>
      </c>
    </row>
    <row r="21" spans="1:6" x14ac:dyDescent="0.25">
      <c r="B21" t="s">
        <v>601</v>
      </c>
      <c r="C21">
        <f>C18-C14</f>
        <v>8</v>
      </c>
      <c r="D21">
        <f>D18-D14</f>
        <v>13.700000000000045</v>
      </c>
      <c r="E21">
        <f>D21/C21</f>
        <v>1.7125000000000057</v>
      </c>
      <c r="F21" t="s">
        <v>602</v>
      </c>
    </row>
    <row r="22" spans="1:6" x14ac:dyDescent="0.25">
      <c r="E22">
        <f>E21*100</f>
        <v>171.25000000000057</v>
      </c>
      <c r="F22" s="128">
        <v>1</v>
      </c>
    </row>
    <row r="26" spans="1:6" ht="15.75" thickBot="1" x14ac:dyDescent="0.3"/>
    <row r="27" spans="1:6" x14ac:dyDescent="0.25">
      <c r="A27" s="27"/>
      <c r="B27" s="28"/>
      <c r="C27" s="28"/>
      <c r="D27" s="28" t="s">
        <v>614</v>
      </c>
      <c r="E27" s="29" t="s">
        <v>615</v>
      </c>
    </row>
    <row r="28" spans="1:6" x14ac:dyDescent="0.25">
      <c r="A28" s="30" t="s">
        <v>600</v>
      </c>
      <c r="B28" s="31"/>
      <c r="C28" s="31">
        <v>6</v>
      </c>
      <c r="D28" s="31">
        <v>1099.4000000000001</v>
      </c>
      <c r="E28" s="32">
        <v>1099.9000000000001</v>
      </c>
    </row>
    <row r="29" spans="1:6" x14ac:dyDescent="0.25">
      <c r="A29" s="30" t="s">
        <v>592</v>
      </c>
      <c r="B29" s="31"/>
      <c r="C29" s="31">
        <v>16</v>
      </c>
      <c r="D29" s="31">
        <v>1271.25</v>
      </c>
      <c r="E29" s="32">
        <v>1273.7</v>
      </c>
    </row>
    <row r="30" spans="1:6" ht="15.75" thickBot="1" x14ac:dyDescent="0.3">
      <c r="A30" s="34" t="s">
        <v>596</v>
      </c>
      <c r="B30" s="35"/>
      <c r="C30" s="35">
        <v>20</v>
      </c>
      <c r="D30" s="35">
        <v>1339</v>
      </c>
      <c r="E30" s="36">
        <v>1342.3</v>
      </c>
    </row>
    <row r="31" spans="1:6" ht="15.75" thickBot="1" x14ac:dyDescent="0.3"/>
    <row r="32" spans="1:6" x14ac:dyDescent="0.25">
      <c r="A32" s="27" t="s">
        <v>540</v>
      </c>
      <c r="B32" s="138">
        <v>0.67</v>
      </c>
      <c r="C32" s="28"/>
      <c r="D32" s="28"/>
      <c r="E32" s="29"/>
    </row>
    <row r="33" spans="1:19" ht="15.75" thickBot="1" x14ac:dyDescent="0.3">
      <c r="A33" s="30" t="s">
        <v>616</v>
      </c>
      <c r="B33" s="31" t="s">
        <v>546</v>
      </c>
      <c r="C33" s="31"/>
      <c r="D33" s="31"/>
      <c r="E33" s="32"/>
    </row>
    <row r="34" spans="1:19" x14ac:dyDescent="0.25">
      <c r="A34" s="30"/>
      <c r="B34" s="31"/>
      <c r="C34" s="31"/>
      <c r="D34" s="31"/>
      <c r="E34" s="32"/>
      <c r="F34" s="27" t="s">
        <v>544</v>
      </c>
      <c r="G34" s="28">
        <v>5</v>
      </c>
      <c r="H34" s="29" t="s">
        <v>604</v>
      </c>
    </row>
    <row r="35" spans="1:19" ht="15.75" thickBot="1" x14ac:dyDescent="0.3">
      <c r="A35" s="30"/>
      <c r="B35" s="31"/>
      <c r="C35" s="31"/>
      <c r="D35" s="31"/>
      <c r="E35" s="32"/>
      <c r="F35" s="30" t="s">
        <v>752</v>
      </c>
      <c r="G35" s="31">
        <f>0.67*G34</f>
        <v>3.35</v>
      </c>
      <c r="H35" s="32" t="s">
        <v>604</v>
      </c>
    </row>
    <row r="36" spans="1:19" x14ac:dyDescent="0.25">
      <c r="A36" s="30"/>
      <c r="B36" s="31"/>
      <c r="C36" s="31"/>
      <c r="D36" s="31"/>
      <c r="E36" s="32"/>
      <c r="F36" s="30" t="s">
        <v>603</v>
      </c>
      <c r="G36" s="31">
        <f>0.2*G34</f>
        <v>1</v>
      </c>
      <c r="H36" s="32" t="s">
        <v>604</v>
      </c>
      <c r="J36" s="27" t="s">
        <v>544</v>
      </c>
      <c r="K36" s="28">
        <v>5</v>
      </c>
      <c r="L36" s="29" t="s">
        <v>604</v>
      </c>
    </row>
    <row r="37" spans="1:19" x14ac:dyDescent="0.25">
      <c r="A37" s="30"/>
      <c r="B37" s="31"/>
      <c r="C37" s="31"/>
      <c r="D37" s="31"/>
      <c r="E37" s="32"/>
      <c r="F37" s="30" t="s">
        <v>605</v>
      </c>
      <c r="G37" s="139">
        <v>1000000</v>
      </c>
      <c r="H37" s="32" t="s">
        <v>606</v>
      </c>
      <c r="J37" s="30" t="s">
        <v>751</v>
      </c>
      <c r="K37" s="31">
        <f>0.2*K36</f>
        <v>1</v>
      </c>
      <c r="L37" s="32" t="s">
        <v>604</v>
      </c>
    </row>
    <row r="38" spans="1:19" x14ac:dyDescent="0.25">
      <c r="A38" s="30"/>
      <c r="B38" s="31"/>
      <c r="C38" s="31"/>
      <c r="D38" s="31"/>
      <c r="E38" s="32"/>
      <c r="F38" s="30" t="s">
        <v>607</v>
      </c>
      <c r="G38" s="139">
        <f>(G36)/G37</f>
        <v>9.9999999999999995E-7</v>
      </c>
      <c r="H38" s="32" t="s">
        <v>608</v>
      </c>
      <c r="J38" s="30" t="s">
        <v>603</v>
      </c>
      <c r="K38" s="31">
        <f>0.2*K36</f>
        <v>1</v>
      </c>
      <c r="L38" s="32" t="s">
        <v>604</v>
      </c>
    </row>
    <row r="39" spans="1:19" x14ac:dyDescent="0.25">
      <c r="A39" s="30"/>
      <c r="B39" s="31"/>
      <c r="C39" s="31"/>
      <c r="D39" s="31"/>
      <c r="E39" s="32"/>
      <c r="F39" s="30"/>
      <c r="G39" s="139">
        <f>G38*1000000</f>
        <v>1</v>
      </c>
      <c r="H39" s="32" t="s">
        <v>609</v>
      </c>
      <c r="J39" s="30" t="s">
        <v>605</v>
      </c>
      <c r="K39" s="139">
        <v>1000000</v>
      </c>
      <c r="L39" s="32" t="s">
        <v>606</v>
      </c>
    </row>
    <row r="40" spans="1:19" x14ac:dyDescent="0.25">
      <c r="A40" s="30"/>
      <c r="B40" s="31"/>
      <c r="C40" s="31"/>
      <c r="D40" s="31"/>
      <c r="E40" s="32"/>
      <c r="F40" s="30" t="s">
        <v>610</v>
      </c>
      <c r="G40" s="31">
        <v>35000</v>
      </c>
      <c r="H40" s="32"/>
      <c r="J40" s="30" t="s">
        <v>607</v>
      </c>
      <c r="K40" s="139">
        <f>(K38)/K39</f>
        <v>9.9999999999999995E-7</v>
      </c>
      <c r="L40" s="32" t="s">
        <v>608</v>
      </c>
    </row>
    <row r="41" spans="1:19" x14ac:dyDescent="0.25">
      <c r="A41" s="30"/>
      <c r="B41" s="31"/>
      <c r="C41" s="31"/>
      <c r="D41" s="31"/>
      <c r="E41" s="32"/>
      <c r="F41" s="30" t="s">
        <v>611</v>
      </c>
      <c r="G41" s="139">
        <f>G35+G40*G38</f>
        <v>3.3850000000000002</v>
      </c>
      <c r="H41" s="32" t="s">
        <v>604</v>
      </c>
      <c r="J41" s="30"/>
      <c r="K41" s="139">
        <f>K40*1000000</f>
        <v>1</v>
      </c>
      <c r="L41" s="32" t="s">
        <v>609</v>
      </c>
    </row>
    <row r="42" spans="1:19" ht="15.75" thickBot="1" x14ac:dyDescent="0.3">
      <c r="A42" s="34" t="s">
        <v>596</v>
      </c>
      <c r="B42" s="35" t="s">
        <v>591</v>
      </c>
      <c r="C42" s="35">
        <v>20</v>
      </c>
      <c r="D42" s="35">
        <v>3379</v>
      </c>
      <c r="E42" s="36">
        <v>3380</v>
      </c>
      <c r="F42" s="34"/>
      <c r="G42" s="140">
        <f>G41*1000</f>
        <v>3385.0000000000005</v>
      </c>
      <c r="H42" s="36" t="s">
        <v>410</v>
      </c>
      <c r="J42" s="30" t="s">
        <v>610</v>
      </c>
      <c r="K42" s="31">
        <v>350000</v>
      </c>
      <c r="L42" s="32"/>
    </row>
    <row r="43" spans="1:19" x14ac:dyDescent="0.25">
      <c r="J43" s="30" t="s">
        <v>611</v>
      </c>
      <c r="K43" s="139">
        <f>K37+K42*K40</f>
        <v>1.35</v>
      </c>
      <c r="L43" s="32" t="s">
        <v>604</v>
      </c>
    </row>
    <row r="44" spans="1:19" ht="15.75" thickBot="1" x14ac:dyDescent="0.3">
      <c r="J44" s="34"/>
      <c r="K44" s="140">
        <f>K43*1000</f>
        <v>1350</v>
      </c>
      <c r="L44" s="36" t="s">
        <v>410</v>
      </c>
    </row>
    <row r="47" spans="1:19" ht="15.75" thickBot="1" x14ac:dyDescent="0.3"/>
    <row r="48" spans="1:19" ht="15.75" thickBot="1" x14ac:dyDescent="0.3">
      <c r="A48" s="27" t="s">
        <v>761</v>
      </c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9"/>
    </row>
    <row r="49" spans="1:19" x14ac:dyDescent="0.25">
      <c r="A49" s="30"/>
      <c r="B49" s="31"/>
      <c r="C49" s="31"/>
      <c r="D49" s="31"/>
      <c r="E49" s="164" t="s">
        <v>560</v>
      </c>
      <c r="F49" s="164" t="s">
        <v>561</v>
      </c>
      <c r="G49" s="164" t="s">
        <v>562</v>
      </c>
      <c r="H49" s="155" t="s">
        <v>560</v>
      </c>
      <c r="I49" s="155" t="s">
        <v>561</v>
      </c>
      <c r="J49" s="156" t="s">
        <v>562</v>
      </c>
      <c r="K49" s="31"/>
      <c r="L49" s="31"/>
      <c r="M49" s="31"/>
      <c r="N49" s="31"/>
      <c r="O49" s="31"/>
      <c r="P49" s="31"/>
      <c r="Q49" s="31"/>
      <c r="R49" s="31"/>
      <c r="S49" s="32"/>
    </row>
    <row r="50" spans="1:19" ht="15.75" thickBot="1" x14ac:dyDescent="0.3">
      <c r="A50" s="30"/>
      <c r="B50" s="31"/>
      <c r="C50" s="31"/>
      <c r="D50" s="31"/>
      <c r="E50" s="166" t="s">
        <v>709</v>
      </c>
      <c r="F50" s="166" t="s">
        <v>739</v>
      </c>
      <c r="G50" s="165" t="s">
        <v>583</v>
      </c>
      <c r="H50" s="157" t="str">
        <f t="shared" ref="H50:J50" si="0">CONCATENATE("0x",BIN2HEX(RIGHT(E50,LEN(E50)-2),2))</f>
        <v>0x15</v>
      </c>
      <c r="I50" s="157" t="str">
        <f t="shared" si="0"/>
        <v>0x27</v>
      </c>
      <c r="J50" s="158" t="str">
        <f t="shared" si="0"/>
        <v>0x03</v>
      </c>
      <c r="K50" s="31"/>
      <c r="L50" s="157" t="s">
        <v>546</v>
      </c>
      <c r="M50" s="157" t="s">
        <v>674</v>
      </c>
      <c r="N50" s="157" t="s">
        <v>544</v>
      </c>
      <c r="O50" s="157" t="s">
        <v>684</v>
      </c>
      <c r="P50" s="157" t="s">
        <v>687</v>
      </c>
      <c r="Q50" s="171">
        <v>0.12</v>
      </c>
      <c r="R50" s="157" t="s">
        <v>587</v>
      </c>
      <c r="S50" s="32"/>
    </row>
    <row r="51" spans="1:19" ht="15.75" thickBot="1" x14ac:dyDescent="0.3">
      <c r="A51" s="30"/>
      <c r="B51" s="31"/>
      <c r="C51" s="31"/>
      <c r="D51" s="27" t="s">
        <v>762</v>
      </c>
      <c r="E51" s="28" t="s">
        <v>709</v>
      </c>
      <c r="F51" s="28" t="s">
        <v>749</v>
      </c>
      <c r="G51" s="28" t="s">
        <v>583</v>
      </c>
      <c r="H51" s="28"/>
      <c r="I51" s="28"/>
      <c r="J51" s="28"/>
      <c r="K51" s="29"/>
      <c r="L51" s="31"/>
      <c r="M51" s="31"/>
      <c r="N51" s="31"/>
      <c r="O51" s="31"/>
      <c r="P51" s="31"/>
      <c r="Q51" s="31"/>
      <c r="R51" s="31"/>
      <c r="S51" s="32"/>
    </row>
    <row r="52" spans="1:19" x14ac:dyDescent="0.25">
      <c r="A52" s="30"/>
      <c r="B52" s="31"/>
      <c r="C52" s="31"/>
      <c r="D52" s="27" t="s">
        <v>745</v>
      </c>
      <c r="E52" s="169" t="s">
        <v>746</v>
      </c>
      <c r="F52" s="169" t="s">
        <v>746</v>
      </c>
      <c r="G52" s="169" t="s">
        <v>746</v>
      </c>
      <c r="H52" s="169" t="s">
        <v>746</v>
      </c>
      <c r="I52" s="169" t="s">
        <v>559</v>
      </c>
      <c r="J52" s="169" t="s">
        <v>746</v>
      </c>
      <c r="K52" s="170" t="s">
        <v>746</v>
      </c>
      <c r="L52" s="174" t="s">
        <v>746</v>
      </c>
      <c r="M52" s="169" t="s">
        <v>559</v>
      </c>
      <c r="N52" s="31"/>
      <c r="O52" s="31"/>
      <c r="P52" s="31"/>
      <c r="Q52" s="31"/>
      <c r="R52" s="31"/>
      <c r="S52" s="32"/>
    </row>
    <row r="53" spans="1:19" x14ac:dyDescent="0.25">
      <c r="A53" s="30"/>
      <c r="B53" s="31"/>
      <c r="C53" s="31"/>
      <c r="D53" s="30" t="s">
        <v>743</v>
      </c>
      <c r="E53" s="157" t="s">
        <v>744</v>
      </c>
      <c r="F53" s="157" t="s">
        <v>744</v>
      </c>
      <c r="G53" s="31" t="s">
        <v>744</v>
      </c>
      <c r="H53" s="31" t="s">
        <v>744</v>
      </c>
      <c r="I53" s="31" t="s">
        <v>744</v>
      </c>
      <c r="J53" s="31" t="s">
        <v>747</v>
      </c>
      <c r="K53" s="32" t="s">
        <v>747</v>
      </c>
      <c r="L53" s="135" t="s">
        <v>747</v>
      </c>
      <c r="M53" s="10" t="s">
        <v>747</v>
      </c>
      <c r="N53" s="31"/>
      <c r="O53" s="31"/>
      <c r="P53" s="31"/>
      <c r="Q53" s="31"/>
      <c r="R53" s="31"/>
      <c r="S53" s="32"/>
    </row>
    <row r="54" spans="1:19" x14ac:dyDescent="0.25">
      <c r="A54" s="30"/>
      <c r="B54" s="31"/>
      <c r="C54" s="31"/>
      <c r="D54" s="30" t="s">
        <v>742</v>
      </c>
      <c r="E54" s="171">
        <v>-0.12</v>
      </c>
      <c r="F54" s="171">
        <v>0</v>
      </c>
      <c r="G54" s="172">
        <v>-0.01</v>
      </c>
      <c r="H54" s="172">
        <v>-0.02</v>
      </c>
      <c r="I54" s="172">
        <v>-0.02</v>
      </c>
      <c r="J54" s="172">
        <v>0.02</v>
      </c>
      <c r="K54" s="173">
        <v>0.1</v>
      </c>
      <c r="L54" s="175">
        <v>0.06</v>
      </c>
      <c r="M54" s="172">
        <v>0.06</v>
      </c>
      <c r="N54" s="31"/>
      <c r="O54" s="31"/>
      <c r="P54" s="31"/>
      <c r="Q54" s="31"/>
      <c r="R54" s="31"/>
      <c r="S54" s="32"/>
    </row>
    <row r="55" spans="1:19" x14ac:dyDescent="0.25">
      <c r="A55" s="30"/>
      <c r="B55" s="31"/>
      <c r="C55" s="31"/>
      <c r="D55" s="30" t="s">
        <v>748</v>
      </c>
      <c r="E55" s="157">
        <v>-1.002</v>
      </c>
      <c r="F55" s="157">
        <v>-0.122</v>
      </c>
      <c r="G55" s="31">
        <v>-0.192</v>
      </c>
      <c r="H55" s="31">
        <v>-0.25900000000000001</v>
      </c>
      <c r="I55" s="31">
        <v>-0.255</v>
      </c>
      <c r="J55" s="31">
        <v>0.03</v>
      </c>
      <c r="K55" s="32">
        <v>0.63800000000000001</v>
      </c>
      <c r="L55" s="134">
        <v>0.34699999999999998</v>
      </c>
      <c r="M55" s="10">
        <v>0.40200000000000002</v>
      </c>
      <c r="N55" s="31"/>
      <c r="O55" s="31"/>
      <c r="P55" s="31"/>
      <c r="Q55" s="31"/>
      <c r="R55" s="31"/>
      <c r="S55" s="32"/>
    </row>
    <row r="56" spans="1:19" ht="15.75" thickBot="1" x14ac:dyDescent="0.3">
      <c r="A56" s="30"/>
      <c r="B56" s="31"/>
      <c r="C56" s="31"/>
      <c r="D56" s="189" t="s">
        <v>741</v>
      </c>
      <c r="E56" s="190"/>
      <c r="F56" s="190"/>
      <c r="G56" s="190"/>
      <c r="H56" s="190">
        <v>-9.9000000000000005E-2</v>
      </c>
      <c r="I56" s="190">
        <v>-9.9000000000000005E-2</v>
      </c>
      <c r="J56" s="190">
        <v>0.1</v>
      </c>
      <c r="K56" s="191">
        <v>0.498</v>
      </c>
      <c r="L56" s="192">
        <v>0.29899999999999999</v>
      </c>
      <c r="M56" s="193">
        <v>0.29899999999999999</v>
      </c>
      <c r="N56" s="31"/>
      <c r="O56" s="31"/>
      <c r="P56" s="31"/>
      <c r="Q56" s="31"/>
      <c r="R56" s="31"/>
      <c r="S56" s="32"/>
    </row>
    <row r="57" spans="1:19" ht="15.75" thickBot="1" x14ac:dyDescent="0.3">
      <c r="A57" s="34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6"/>
    </row>
  </sheetData>
  <hyperlinks>
    <hyperlink ref="P3" r:id="rId1"/>
    <hyperlink ref="B1" location="Contents!A1" display="Contents!A1"/>
  </hyperlinks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selection activeCell="A7" sqref="A7"/>
    </sheetView>
  </sheetViews>
  <sheetFormatPr defaultRowHeight="15" x14ac:dyDescent="0.25"/>
  <cols>
    <col min="2" max="2" width="16.28515625" customWidth="1"/>
  </cols>
  <sheetData>
    <row r="1" spans="1:21" ht="26.25" x14ac:dyDescent="0.4">
      <c r="B1" s="57" t="s">
        <v>181</v>
      </c>
    </row>
    <row r="3" spans="1:21" ht="21" x14ac:dyDescent="0.35">
      <c r="A3" s="15" t="s">
        <v>442</v>
      </c>
    </row>
    <row r="4" spans="1:21" x14ac:dyDescent="0.25">
      <c r="A4" t="s">
        <v>443</v>
      </c>
    </row>
    <row r="6" spans="1:21" x14ac:dyDescent="0.25">
      <c r="A6" t="s">
        <v>444</v>
      </c>
    </row>
    <row r="7" spans="1:21" s="75" customFormat="1" ht="45" x14ac:dyDescent="0.25">
      <c r="A7" s="75" t="s">
        <v>445</v>
      </c>
      <c r="B7" s="75" t="s">
        <v>446</v>
      </c>
      <c r="C7" s="75" t="s">
        <v>447</v>
      </c>
      <c r="D7" s="75" t="s">
        <v>448</v>
      </c>
      <c r="E7" s="75" t="s">
        <v>449</v>
      </c>
      <c r="F7" s="75" t="s">
        <v>450</v>
      </c>
      <c r="G7" s="75" t="s">
        <v>451</v>
      </c>
      <c r="H7" s="75" t="s">
        <v>452</v>
      </c>
      <c r="I7" s="75" t="s">
        <v>453</v>
      </c>
      <c r="J7" s="75" t="s">
        <v>454</v>
      </c>
      <c r="K7" s="75" t="s">
        <v>455</v>
      </c>
      <c r="L7" s="75" t="s">
        <v>456</v>
      </c>
      <c r="M7" s="75" t="s">
        <v>457</v>
      </c>
      <c r="N7" s="75" t="s">
        <v>458</v>
      </c>
      <c r="O7" s="75" t="s">
        <v>459</v>
      </c>
      <c r="P7" s="75" t="s">
        <v>460</v>
      </c>
      <c r="Q7" s="75" t="s">
        <v>461</v>
      </c>
      <c r="R7" s="75" t="s">
        <v>462</v>
      </c>
      <c r="S7" s="75" t="s">
        <v>463</v>
      </c>
      <c r="T7" s="75" t="s">
        <v>464</v>
      </c>
      <c r="U7" s="75" t="s">
        <v>129</v>
      </c>
    </row>
  </sheetData>
  <hyperlinks>
    <hyperlink ref="B1" location="Contents!A1" display="Contents!A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sqref="A1:XFD1"/>
    </sheetView>
  </sheetViews>
  <sheetFormatPr defaultRowHeight="15" x14ac:dyDescent="0.25"/>
  <cols>
    <col min="1" max="1" width="3" customWidth="1"/>
    <col min="2" max="2" width="66.140625" customWidth="1"/>
    <col min="3" max="3" width="18" customWidth="1"/>
    <col min="7" max="7" width="12.140625" bestFit="1" customWidth="1"/>
  </cols>
  <sheetData>
    <row r="1" spans="1:7" ht="27" thickBot="1" x14ac:dyDescent="0.45">
      <c r="B1" s="57" t="s">
        <v>181</v>
      </c>
      <c r="C1" s="57"/>
    </row>
    <row r="2" spans="1:7" x14ac:dyDescent="0.25">
      <c r="E2" s="27" t="s">
        <v>105</v>
      </c>
      <c r="F2" s="28" t="s">
        <v>106</v>
      </c>
      <c r="G2" s="29"/>
    </row>
    <row r="3" spans="1:7" ht="18.75" x14ac:dyDescent="0.3">
      <c r="A3" s="66" t="s">
        <v>262</v>
      </c>
      <c r="E3" s="30">
        <v>4</v>
      </c>
      <c r="F3" s="31">
        <v>3</v>
      </c>
      <c r="G3" s="32" t="s">
        <v>119</v>
      </c>
    </row>
    <row r="4" spans="1:7" x14ac:dyDescent="0.25">
      <c r="A4">
        <v>0</v>
      </c>
      <c r="B4" t="s">
        <v>270</v>
      </c>
      <c r="E4" s="30">
        <v>5</v>
      </c>
      <c r="F4" s="31" t="s">
        <v>101</v>
      </c>
      <c r="G4" s="67" t="s">
        <v>118</v>
      </c>
    </row>
    <row r="5" spans="1:7" ht="15.75" thickBot="1" x14ac:dyDescent="0.3">
      <c r="A5">
        <v>1</v>
      </c>
      <c r="B5" t="s">
        <v>264</v>
      </c>
      <c r="E5" s="34"/>
      <c r="F5" s="35"/>
      <c r="G5" s="36"/>
    </row>
    <row r="6" spans="1:7" x14ac:dyDescent="0.25">
      <c r="A6">
        <v>2</v>
      </c>
      <c r="B6" t="s">
        <v>265</v>
      </c>
    </row>
    <row r="7" spans="1:7" x14ac:dyDescent="0.25">
      <c r="A7">
        <v>3</v>
      </c>
      <c r="B7" t="s">
        <v>318</v>
      </c>
      <c r="E7" s="12" t="s">
        <v>272</v>
      </c>
    </row>
    <row r="8" spans="1:7" x14ac:dyDescent="0.25">
      <c r="A8">
        <v>4</v>
      </c>
      <c r="B8" t="s">
        <v>267</v>
      </c>
      <c r="E8" t="s">
        <v>273</v>
      </c>
    </row>
    <row r="9" spans="1:7" x14ac:dyDescent="0.25">
      <c r="A9">
        <v>5</v>
      </c>
      <c r="B9" t="s">
        <v>268</v>
      </c>
    </row>
    <row r="10" spans="1:7" x14ac:dyDescent="0.25">
      <c r="A10">
        <v>6</v>
      </c>
      <c r="B10" t="s">
        <v>269</v>
      </c>
    </row>
    <row r="11" spans="1:7" x14ac:dyDescent="0.25">
      <c r="A11">
        <v>7</v>
      </c>
      <c r="B11" t="s">
        <v>271</v>
      </c>
    </row>
    <row r="12" spans="1:7" x14ac:dyDescent="0.25">
      <c r="A12">
        <v>8</v>
      </c>
      <c r="B12" t="s">
        <v>319</v>
      </c>
    </row>
    <row r="13" spans="1:7" x14ac:dyDescent="0.25">
      <c r="A13">
        <v>9</v>
      </c>
      <c r="B13" t="s">
        <v>360</v>
      </c>
    </row>
    <row r="14" spans="1:7" x14ac:dyDescent="0.25">
      <c r="A14">
        <v>10</v>
      </c>
      <c r="B14" t="s">
        <v>361</v>
      </c>
    </row>
    <row r="15" spans="1:7" x14ac:dyDescent="0.25">
      <c r="A15">
        <v>11</v>
      </c>
      <c r="B15" t="s">
        <v>362</v>
      </c>
    </row>
    <row r="16" spans="1:7" x14ac:dyDescent="0.25">
      <c r="A16">
        <v>12</v>
      </c>
      <c r="B16" t="s">
        <v>363</v>
      </c>
    </row>
    <row r="17" spans="1:3" x14ac:dyDescent="0.25">
      <c r="A17">
        <v>13</v>
      </c>
      <c r="B17" t="s">
        <v>364</v>
      </c>
    </row>
    <row r="18" spans="1:3" x14ac:dyDescent="0.25">
      <c r="A18">
        <v>14</v>
      </c>
      <c r="B18" t="s">
        <v>713</v>
      </c>
    </row>
    <row r="19" spans="1:3" x14ac:dyDescent="0.25">
      <c r="A19">
        <v>15</v>
      </c>
      <c r="B19" t="s">
        <v>714</v>
      </c>
    </row>
    <row r="20" spans="1:3" x14ac:dyDescent="0.25">
      <c r="A20">
        <v>16</v>
      </c>
      <c r="B20" t="s">
        <v>715</v>
      </c>
    </row>
    <row r="21" spans="1:3" x14ac:dyDescent="0.25">
      <c r="A21">
        <v>17</v>
      </c>
      <c r="B21" t="s">
        <v>716</v>
      </c>
    </row>
    <row r="22" spans="1:3" x14ac:dyDescent="0.25">
      <c r="A22">
        <v>18</v>
      </c>
      <c r="B22" t="s">
        <v>717</v>
      </c>
    </row>
    <row r="23" spans="1:3" x14ac:dyDescent="0.25">
      <c r="A23">
        <v>19</v>
      </c>
      <c r="B23" t="s">
        <v>718</v>
      </c>
      <c r="C23" t="s">
        <v>719</v>
      </c>
    </row>
    <row r="24" spans="1:3" x14ac:dyDescent="0.25">
      <c r="A24">
        <v>20</v>
      </c>
      <c r="B24" t="s">
        <v>720</v>
      </c>
    </row>
    <row r="25" spans="1:3" x14ac:dyDescent="0.25">
      <c r="A25">
        <v>21</v>
      </c>
      <c r="B25" t="s">
        <v>721</v>
      </c>
    </row>
    <row r="26" spans="1:3" x14ac:dyDescent="0.25">
      <c r="A26">
        <v>22</v>
      </c>
      <c r="B26" t="s">
        <v>722</v>
      </c>
    </row>
    <row r="27" spans="1:3" x14ac:dyDescent="0.25">
      <c r="A27">
        <v>23</v>
      </c>
      <c r="B27" t="s">
        <v>723</v>
      </c>
    </row>
    <row r="28" spans="1:3" x14ac:dyDescent="0.25">
      <c r="A28">
        <v>24</v>
      </c>
      <c r="B28" t="s">
        <v>724</v>
      </c>
    </row>
    <row r="29" spans="1:3" x14ac:dyDescent="0.25">
      <c r="A29">
        <v>25</v>
      </c>
      <c r="B29" t="s">
        <v>725</v>
      </c>
    </row>
    <row r="30" spans="1:3" x14ac:dyDescent="0.25">
      <c r="A30">
        <v>26</v>
      </c>
      <c r="B30" t="s">
        <v>726</v>
      </c>
    </row>
    <row r="31" spans="1:3" x14ac:dyDescent="0.25">
      <c r="A31">
        <v>27</v>
      </c>
      <c r="B31" t="s">
        <v>727</v>
      </c>
    </row>
    <row r="32" spans="1:3" x14ac:dyDescent="0.25">
      <c r="A32">
        <v>28</v>
      </c>
      <c r="B32" t="s">
        <v>728</v>
      </c>
    </row>
    <row r="33" spans="1:2" x14ac:dyDescent="0.25">
      <c r="A33">
        <v>29</v>
      </c>
      <c r="B33" t="s">
        <v>729</v>
      </c>
    </row>
    <row r="34" spans="1:2" x14ac:dyDescent="0.25">
      <c r="A34">
        <v>30</v>
      </c>
      <c r="B34" t="s">
        <v>730</v>
      </c>
    </row>
    <row r="35" spans="1:2" x14ac:dyDescent="0.25">
      <c r="A35">
        <v>31</v>
      </c>
      <c r="B35" t="s">
        <v>731</v>
      </c>
    </row>
    <row r="36" spans="1:2" x14ac:dyDescent="0.25">
      <c r="A36">
        <v>32</v>
      </c>
      <c r="B36" t="s">
        <v>732</v>
      </c>
    </row>
    <row r="37" spans="1:2" x14ac:dyDescent="0.25">
      <c r="A37">
        <v>33</v>
      </c>
      <c r="B37" t="s">
        <v>767</v>
      </c>
    </row>
    <row r="38" spans="1:2" x14ac:dyDescent="0.25">
      <c r="A38">
        <v>34</v>
      </c>
      <c r="B38" t="s">
        <v>768</v>
      </c>
    </row>
    <row r="39" spans="1:2" x14ac:dyDescent="0.25">
      <c r="A39">
        <v>35</v>
      </c>
      <c r="B39" t="s">
        <v>769</v>
      </c>
    </row>
    <row r="40" spans="1:2" x14ac:dyDescent="0.25">
      <c r="A40">
        <v>36</v>
      </c>
      <c r="B40" t="s">
        <v>770</v>
      </c>
    </row>
    <row r="41" spans="1:2" x14ac:dyDescent="0.25">
      <c r="A41">
        <v>37</v>
      </c>
      <c r="B41" t="s">
        <v>771</v>
      </c>
    </row>
    <row r="42" spans="1:2" x14ac:dyDescent="0.25">
      <c r="A42">
        <v>38</v>
      </c>
      <c r="B42" t="s">
        <v>772</v>
      </c>
    </row>
    <row r="43" spans="1:2" x14ac:dyDescent="0.25">
      <c r="A43">
        <v>39</v>
      </c>
      <c r="B43" t="s">
        <v>773</v>
      </c>
    </row>
    <row r="44" spans="1:2" x14ac:dyDescent="0.25">
      <c r="A44">
        <v>40</v>
      </c>
      <c r="B44" t="s">
        <v>774</v>
      </c>
    </row>
    <row r="45" spans="1:2" x14ac:dyDescent="0.25">
      <c r="A45">
        <v>41</v>
      </c>
      <c r="B45" t="s">
        <v>775</v>
      </c>
    </row>
    <row r="46" spans="1:2" x14ac:dyDescent="0.25">
      <c r="A46">
        <v>42</v>
      </c>
      <c r="B46" t="s">
        <v>776</v>
      </c>
    </row>
  </sheetData>
  <hyperlinks>
    <hyperlink ref="B1" location="Contents!A1" display="Contents!A1"/>
    <hyperlink ref="G4" location="'Error Codes'!A1" display="ERROR CODE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sqref="A1:XFD1"/>
    </sheetView>
  </sheetViews>
  <sheetFormatPr defaultRowHeight="15" x14ac:dyDescent="0.25"/>
  <cols>
    <col min="1" max="1" width="24" bestFit="1" customWidth="1"/>
    <col min="2" max="2" width="61.85546875" customWidth="1"/>
    <col min="6" max="6" width="12.140625" bestFit="1" customWidth="1"/>
  </cols>
  <sheetData>
    <row r="1" spans="1:6" ht="27" thickBot="1" x14ac:dyDescent="0.45">
      <c r="B1" s="57" t="s">
        <v>181</v>
      </c>
    </row>
    <row r="2" spans="1:6" x14ac:dyDescent="0.25">
      <c r="D2" s="27"/>
      <c r="E2" s="28"/>
      <c r="F2" s="29"/>
    </row>
    <row r="3" spans="1:6" ht="18.75" x14ac:dyDescent="0.3">
      <c r="A3" s="66" t="s">
        <v>297</v>
      </c>
      <c r="D3" s="30"/>
      <c r="E3" s="31"/>
      <c r="F3" s="32"/>
    </row>
    <row r="4" spans="1:6" x14ac:dyDescent="0.25">
      <c r="A4">
        <v>500</v>
      </c>
      <c r="B4" t="s">
        <v>298</v>
      </c>
      <c r="D4" s="30"/>
      <c r="E4" s="31"/>
      <c r="F4" s="67"/>
    </row>
    <row r="5" spans="1:6" ht="15.75" thickBot="1" x14ac:dyDescent="0.3">
      <c r="D5" s="34"/>
      <c r="E5" s="35"/>
      <c r="F5" s="36"/>
    </row>
    <row r="7" spans="1:6" x14ac:dyDescent="0.25">
      <c r="D7" s="12"/>
    </row>
  </sheetData>
  <hyperlinks>
    <hyperlink ref="B1" location="Contents!A1" display="Contents!A1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F25" sqref="F25"/>
    </sheetView>
  </sheetViews>
  <sheetFormatPr defaultRowHeight="15" x14ac:dyDescent="0.25"/>
  <cols>
    <col min="1" max="1" width="19.85546875" bestFit="1" customWidth="1"/>
    <col min="2" max="2" width="10" bestFit="1" customWidth="1"/>
    <col min="4" max="4" width="10" bestFit="1" customWidth="1"/>
  </cols>
  <sheetData>
    <row r="1" spans="1:9" ht="26.25" x14ac:dyDescent="0.4">
      <c r="B1" s="57" t="s">
        <v>181</v>
      </c>
    </row>
    <row r="2" spans="1:9" x14ac:dyDescent="0.25">
      <c r="B2" t="s">
        <v>89</v>
      </c>
      <c r="C2" t="s">
        <v>136</v>
      </c>
    </row>
    <row r="3" spans="1:9" x14ac:dyDescent="0.25">
      <c r="A3" t="s">
        <v>135</v>
      </c>
      <c r="B3">
        <v>1</v>
      </c>
      <c r="C3">
        <v>284</v>
      </c>
      <c r="I3" t="s">
        <v>145</v>
      </c>
    </row>
    <row r="4" spans="1:9" x14ac:dyDescent="0.25">
      <c r="A4" t="s">
        <v>135</v>
      </c>
      <c r="B4">
        <v>8</v>
      </c>
      <c r="C4">
        <v>300</v>
      </c>
    </row>
    <row r="5" spans="1:9" x14ac:dyDescent="0.25">
      <c r="A5" t="s">
        <v>144</v>
      </c>
      <c r="B5">
        <v>68</v>
      </c>
      <c r="C5">
        <v>9000</v>
      </c>
      <c r="D5" t="s">
        <v>146</v>
      </c>
    </row>
    <row r="9" spans="1:9" x14ac:dyDescent="0.25">
      <c r="A9" t="s">
        <v>160</v>
      </c>
    </row>
    <row r="10" spans="1:9" x14ac:dyDescent="0.25">
      <c r="A10" t="s">
        <v>161</v>
      </c>
      <c r="B10">
        <v>400</v>
      </c>
      <c r="C10" t="s">
        <v>162</v>
      </c>
    </row>
    <row r="11" spans="1:9" x14ac:dyDescent="0.25">
      <c r="A11" t="s">
        <v>163</v>
      </c>
      <c r="B11">
        <f>1/(B10)</f>
        <v>2.5000000000000001E-3</v>
      </c>
      <c r="C11" t="s">
        <v>165</v>
      </c>
    </row>
    <row r="12" spans="1:9" x14ac:dyDescent="0.25">
      <c r="A12" t="s">
        <v>164</v>
      </c>
      <c r="B12">
        <f>B11*16</f>
        <v>0.04</v>
      </c>
      <c r="C12" t="s">
        <v>165</v>
      </c>
    </row>
    <row r="13" spans="1:9" x14ac:dyDescent="0.25">
      <c r="A13" t="s">
        <v>166</v>
      </c>
      <c r="B13">
        <f>B12*9</f>
        <v>0.36</v>
      </c>
      <c r="C13" t="s">
        <v>165</v>
      </c>
    </row>
  </sheetData>
  <hyperlinks>
    <hyperlink ref="B1" location="Contents!A1" display="Contents!A1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63"/>
  <sheetViews>
    <sheetView tabSelected="1" workbookViewId="0">
      <selection activeCell="B67" sqref="B67"/>
    </sheetView>
  </sheetViews>
  <sheetFormatPr defaultRowHeight="15" x14ac:dyDescent="0.25"/>
  <cols>
    <col min="1" max="1" width="77" bestFit="1" customWidth="1"/>
    <col min="2" max="2" width="59" customWidth="1"/>
  </cols>
  <sheetData>
    <row r="1" spans="1:2" ht="26.25" x14ac:dyDescent="0.4">
      <c r="A1" s="57" t="s">
        <v>181</v>
      </c>
    </row>
    <row r="2" spans="1:2" ht="26.25" x14ac:dyDescent="0.4">
      <c r="A2" s="58" t="s">
        <v>628</v>
      </c>
      <c r="B2" s="58" t="s">
        <v>629</v>
      </c>
    </row>
    <row r="3" spans="1:2" hidden="1" x14ac:dyDescent="0.25">
      <c r="A3" t="s">
        <v>110</v>
      </c>
      <c r="B3" t="s">
        <v>167</v>
      </c>
    </row>
    <row r="4" spans="1:2" hidden="1" x14ac:dyDescent="0.25">
      <c r="A4" t="s">
        <v>109</v>
      </c>
      <c r="B4" t="s">
        <v>168</v>
      </c>
    </row>
    <row r="5" spans="1:2" hidden="1" x14ac:dyDescent="0.25">
      <c r="A5" t="s">
        <v>111</v>
      </c>
      <c r="B5" t="s">
        <v>369</v>
      </c>
    </row>
    <row r="6" spans="1:2" hidden="1" x14ac:dyDescent="0.25">
      <c r="A6" t="s">
        <v>256</v>
      </c>
      <c r="B6" t="s">
        <v>320</v>
      </c>
    </row>
    <row r="7" spans="1:2" hidden="1" x14ac:dyDescent="0.25">
      <c r="A7" t="s">
        <v>257</v>
      </c>
      <c r="B7" t="s">
        <v>320</v>
      </c>
    </row>
    <row r="8" spans="1:2" hidden="1" x14ac:dyDescent="0.25">
      <c r="A8" t="s">
        <v>266</v>
      </c>
      <c r="B8" t="s">
        <v>320</v>
      </c>
    </row>
    <row r="9" spans="1:2" x14ac:dyDescent="0.25">
      <c r="A9" s="12" t="s">
        <v>326</v>
      </c>
    </row>
    <row r="10" spans="1:2" hidden="1" x14ac:dyDescent="0.25">
      <c r="A10" t="s">
        <v>300</v>
      </c>
      <c r="B10" t="s">
        <v>320</v>
      </c>
    </row>
    <row r="11" spans="1:2" hidden="1" x14ac:dyDescent="0.25">
      <c r="A11" t="s">
        <v>301</v>
      </c>
      <c r="B11" t="s">
        <v>321</v>
      </c>
    </row>
    <row r="12" spans="1:2" hidden="1" x14ac:dyDescent="0.25">
      <c r="A12" t="s">
        <v>302</v>
      </c>
      <c r="B12" t="s">
        <v>320</v>
      </c>
    </row>
    <row r="13" spans="1:2" hidden="1" x14ac:dyDescent="0.25">
      <c r="A13" t="s">
        <v>303</v>
      </c>
      <c r="B13" t="s">
        <v>320</v>
      </c>
    </row>
    <row r="14" spans="1:2" hidden="1" x14ac:dyDescent="0.25">
      <c r="A14" t="s">
        <v>304</v>
      </c>
      <c r="B14" t="s">
        <v>322</v>
      </c>
    </row>
    <row r="15" spans="1:2" hidden="1" x14ac:dyDescent="0.25">
      <c r="A15" t="s">
        <v>305</v>
      </c>
      <c r="B15" t="s">
        <v>320</v>
      </c>
    </row>
    <row r="16" spans="1:2" hidden="1" x14ac:dyDescent="0.25">
      <c r="A16" t="s">
        <v>306</v>
      </c>
      <c r="B16" t="s">
        <v>320</v>
      </c>
    </row>
    <row r="17" spans="1:3" hidden="1" x14ac:dyDescent="0.25">
      <c r="A17" t="s">
        <v>308</v>
      </c>
      <c r="B17" t="s">
        <v>323</v>
      </c>
    </row>
    <row r="18" spans="1:3" hidden="1" x14ac:dyDescent="0.25">
      <c r="A18" t="s">
        <v>309</v>
      </c>
      <c r="B18" t="s">
        <v>324</v>
      </c>
    </row>
    <row r="19" spans="1:3" hidden="1" x14ac:dyDescent="0.25">
      <c r="A19" t="s">
        <v>310</v>
      </c>
      <c r="B19" t="s">
        <v>320</v>
      </c>
    </row>
    <row r="20" spans="1:3" hidden="1" x14ac:dyDescent="0.25">
      <c r="A20" t="s">
        <v>311</v>
      </c>
      <c r="B20" t="s">
        <v>320</v>
      </c>
    </row>
    <row r="21" spans="1:3" hidden="1" x14ac:dyDescent="0.25">
      <c r="A21" t="s">
        <v>312</v>
      </c>
      <c r="B21" t="s">
        <v>320</v>
      </c>
    </row>
    <row r="22" spans="1:3" hidden="1" x14ac:dyDescent="0.25">
      <c r="A22" t="s">
        <v>313</v>
      </c>
      <c r="B22" t="s">
        <v>320</v>
      </c>
    </row>
    <row r="23" spans="1:3" hidden="1" x14ac:dyDescent="0.25">
      <c r="A23" t="s">
        <v>331</v>
      </c>
      <c r="B23" t="s">
        <v>320</v>
      </c>
      <c r="C23" t="s">
        <v>332</v>
      </c>
    </row>
    <row r="24" spans="1:3" hidden="1" x14ac:dyDescent="0.25">
      <c r="A24" t="s">
        <v>314</v>
      </c>
      <c r="B24" t="s">
        <v>320</v>
      </c>
    </row>
    <row r="25" spans="1:3" hidden="1" x14ac:dyDescent="0.25">
      <c r="A25" t="s">
        <v>315</v>
      </c>
      <c r="B25" t="s">
        <v>320</v>
      </c>
      <c r="C25" s="56" t="s">
        <v>316</v>
      </c>
    </row>
    <row r="26" spans="1:3" hidden="1" x14ac:dyDescent="0.25">
      <c r="A26" t="s">
        <v>317</v>
      </c>
      <c r="B26" t="s">
        <v>320</v>
      </c>
    </row>
    <row r="27" spans="1:3" hidden="1" x14ac:dyDescent="0.25">
      <c r="A27" t="s">
        <v>329</v>
      </c>
      <c r="B27" t="s">
        <v>320</v>
      </c>
    </row>
    <row r="28" spans="1:3" hidden="1" x14ac:dyDescent="0.25">
      <c r="A28" t="s">
        <v>325</v>
      </c>
      <c r="B28" t="s">
        <v>320</v>
      </c>
    </row>
    <row r="29" spans="1:3" x14ac:dyDescent="0.25">
      <c r="A29" t="s">
        <v>368</v>
      </c>
    </row>
    <row r="30" spans="1:3" hidden="1" x14ac:dyDescent="0.25">
      <c r="A30" t="s">
        <v>260</v>
      </c>
      <c r="B30" t="s">
        <v>320</v>
      </c>
    </row>
    <row r="31" spans="1:3" hidden="1" x14ac:dyDescent="0.25">
      <c r="A31" t="s">
        <v>259</v>
      </c>
      <c r="B31" t="s">
        <v>627</v>
      </c>
    </row>
    <row r="32" spans="1:3" x14ac:dyDescent="0.25">
      <c r="A32" s="12" t="s">
        <v>327</v>
      </c>
    </row>
    <row r="33" spans="1:3" hidden="1" x14ac:dyDescent="0.25">
      <c r="A33" t="s">
        <v>328</v>
      </c>
      <c r="B33" t="s">
        <v>320</v>
      </c>
    </row>
    <row r="34" spans="1:3" hidden="1" x14ac:dyDescent="0.25">
      <c r="A34" t="s">
        <v>330</v>
      </c>
      <c r="B34" t="s">
        <v>320</v>
      </c>
      <c r="C34" t="s">
        <v>333</v>
      </c>
    </row>
    <row r="35" spans="1:3" hidden="1" x14ac:dyDescent="0.25">
      <c r="A35" t="s">
        <v>334</v>
      </c>
      <c r="B35" t="s">
        <v>320</v>
      </c>
      <c r="C35" t="s">
        <v>365</v>
      </c>
    </row>
    <row r="36" spans="1:3" hidden="1" x14ac:dyDescent="0.25">
      <c r="A36" t="s">
        <v>465</v>
      </c>
      <c r="B36" t="s">
        <v>320</v>
      </c>
    </row>
    <row r="37" spans="1:3" hidden="1" x14ac:dyDescent="0.25">
      <c r="A37" t="s">
        <v>466</v>
      </c>
      <c r="B37" t="s">
        <v>320</v>
      </c>
    </row>
    <row r="38" spans="1:3" hidden="1" x14ac:dyDescent="0.25">
      <c r="A38" t="s">
        <v>467</v>
      </c>
      <c r="B38" t="s">
        <v>320</v>
      </c>
    </row>
    <row r="39" spans="1:3" hidden="1" x14ac:dyDescent="0.25">
      <c r="A39" t="s">
        <v>468</v>
      </c>
      <c r="B39" t="s">
        <v>320</v>
      </c>
    </row>
    <row r="40" spans="1:3" hidden="1" x14ac:dyDescent="0.25">
      <c r="A40" t="s">
        <v>469</v>
      </c>
      <c r="B40" t="s">
        <v>320</v>
      </c>
    </row>
    <row r="41" spans="1:3" hidden="1" x14ac:dyDescent="0.25">
      <c r="A41" t="s">
        <v>470</v>
      </c>
      <c r="B41" t="s">
        <v>320</v>
      </c>
    </row>
    <row r="42" spans="1:3" hidden="1" x14ac:dyDescent="0.25">
      <c r="A42" t="s">
        <v>471</v>
      </c>
      <c r="B42" t="s">
        <v>320</v>
      </c>
    </row>
    <row r="43" spans="1:3" hidden="1" x14ac:dyDescent="0.25">
      <c r="A43" t="s">
        <v>505</v>
      </c>
      <c r="B43" t="s">
        <v>320</v>
      </c>
    </row>
    <row r="44" spans="1:3" hidden="1" x14ac:dyDescent="0.25">
      <c r="A44" t="s">
        <v>506</v>
      </c>
      <c r="B44" t="s">
        <v>320</v>
      </c>
    </row>
    <row r="45" spans="1:3" hidden="1" x14ac:dyDescent="0.25">
      <c r="A45" t="s">
        <v>534</v>
      </c>
      <c r="B45" t="s">
        <v>320</v>
      </c>
    </row>
    <row r="46" spans="1:3" hidden="1" x14ac:dyDescent="0.25">
      <c r="A46" t="s">
        <v>567</v>
      </c>
      <c r="B46" t="s">
        <v>320</v>
      </c>
    </row>
    <row r="47" spans="1:3" hidden="1" x14ac:dyDescent="0.25">
      <c r="A47" t="s">
        <v>572</v>
      </c>
      <c r="B47" t="s">
        <v>320</v>
      </c>
    </row>
    <row r="48" spans="1:3" x14ac:dyDescent="0.25">
      <c r="A48" t="s">
        <v>618</v>
      </c>
    </row>
    <row r="49" spans="1:2" x14ac:dyDescent="0.25">
      <c r="A49" s="12" t="s">
        <v>366</v>
      </c>
    </row>
    <row r="50" spans="1:2" ht="30" x14ac:dyDescent="0.25">
      <c r="A50" s="75" t="s">
        <v>367</v>
      </c>
    </row>
    <row r="51" spans="1:2" hidden="1" x14ac:dyDescent="0.25">
      <c r="A51" t="s">
        <v>626</v>
      </c>
      <c r="B51" t="s">
        <v>320</v>
      </c>
    </row>
    <row r="52" spans="1:2" hidden="1" x14ac:dyDescent="0.25">
      <c r="A52" t="s">
        <v>630</v>
      </c>
      <c r="B52" t="s">
        <v>320</v>
      </c>
    </row>
    <row r="53" spans="1:2" x14ac:dyDescent="0.25">
      <c r="A53" s="12" t="s">
        <v>556</v>
      </c>
    </row>
    <row r="54" spans="1:2" hidden="1" x14ac:dyDescent="0.25">
      <c r="A54" t="s">
        <v>557</v>
      </c>
      <c r="B54" t="s">
        <v>369</v>
      </c>
    </row>
    <row r="55" spans="1:2" hidden="1" x14ac:dyDescent="0.25">
      <c r="A55" t="s">
        <v>575</v>
      </c>
      <c r="B55" t="s">
        <v>625</v>
      </c>
    </row>
    <row r="56" spans="1:2" hidden="1" x14ac:dyDescent="0.25">
      <c r="A56" t="s">
        <v>619</v>
      </c>
      <c r="B56" t="s">
        <v>622</v>
      </c>
    </row>
    <row r="57" spans="1:2" hidden="1" x14ac:dyDescent="0.25">
      <c r="A57" t="s">
        <v>620</v>
      </c>
      <c r="B57" t="s">
        <v>625</v>
      </c>
    </row>
    <row r="58" spans="1:2" hidden="1" x14ac:dyDescent="0.25">
      <c r="A58" t="s">
        <v>621</v>
      </c>
      <c r="B58" t="s">
        <v>623</v>
      </c>
    </row>
    <row r="59" spans="1:2" hidden="1" x14ac:dyDescent="0.25">
      <c r="A59" t="s">
        <v>624</v>
      </c>
      <c r="B59" t="s">
        <v>320</v>
      </c>
    </row>
    <row r="60" spans="1:2" hidden="1" x14ac:dyDescent="0.25">
      <c r="A60" t="s">
        <v>712</v>
      </c>
      <c r="B60" t="s">
        <v>320</v>
      </c>
    </row>
    <row r="61" spans="1:2" x14ac:dyDescent="0.25">
      <c r="A61" s="86" t="s">
        <v>733</v>
      </c>
      <c r="B61" t="s">
        <v>738</v>
      </c>
    </row>
    <row r="62" spans="1:2" x14ac:dyDescent="0.25">
      <c r="A62" t="s">
        <v>734</v>
      </c>
      <c r="B62" t="s">
        <v>320</v>
      </c>
    </row>
    <row r="63" spans="1:2" x14ac:dyDescent="0.25">
      <c r="A63" t="s">
        <v>740</v>
      </c>
    </row>
  </sheetData>
  <autoFilter ref="A2:B60">
    <filterColumn colId="1">
      <filters blank="1"/>
    </filterColumn>
  </autoFilter>
  <hyperlinks>
    <hyperlink ref="A1" location="Contents!A1" display="Contents!A1"/>
    <hyperlink ref="C25" r:id="rId1"/>
  </hyperlinks>
  <pageMargins left="0.7" right="0.7" top="0.75" bottom="0.75" header="0.3" footer="0.3"/>
  <pageSetup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11" sqref="B11"/>
    </sheetView>
  </sheetViews>
  <sheetFormatPr defaultRowHeight="15" x14ac:dyDescent="0.25"/>
  <cols>
    <col min="2" max="2" width="53" customWidth="1"/>
  </cols>
  <sheetData>
    <row r="1" spans="1:2" ht="26.25" x14ac:dyDescent="0.4">
      <c r="A1" s="57" t="s">
        <v>181</v>
      </c>
    </row>
    <row r="2" spans="1:2" x14ac:dyDescent="0.25">
      <c r="A2">
        <v>1</v>
      </c>
      <c r="B2" t="s">
        <v>152</v>
      </c>
    </row>
    <row r="3" spans="1:2" x14ac:dyDescent="0.25">
      <c r="A3">
        <v>2</v>
      </c>
      <c r="B3" t="s">
        <v>153</v>
      </c>
    </row>
    <row r="4" spans="1:2" x14ac:dyDescent="0.25">
      <c r="A4">
        <v>3</v>
      </c>
      <c r="B4" t="s">
        <v>154</v>
      </c>
    </row>
    <row r="5" spans="1:2" x14ac:dyDescent="0.25">
      <c r="A5">
        <v>4</v>
      </c>
      <c r="B5" t="s">
        <v>155</v>
      </c>
    </row>
    <row r="6" spans="1:2" x14ac:dyDescent="0.25">
      <c r="A6">
        <v>5</v>
      </c>
      <c r="B6" t="s">
        <v>156</v>
      </c>
    </row>
    <row r="7" spans="1:2" x14ac:dyDescent="0.25">
      <c r="A7">
        <v>6</v>
      </c>
      <c r="B7" t="s">
        <v>157</v>
      </c>
    </row>
    <row r="8" spans="1:2" x14ac:dyDescent="0.25">
      <c r="A8">
        <v>7</v>
      </c>
      <c r="B8" t="s">
        <v>158</v>
      </c>
    </row>
    <row r="9" spans="1:2" x14ac:dyDescent="0.25">
      <c r="A9">
        <v>8</v>
      </c>
      <c r="B9" t="s">
        <v>159</v>
      </c>
    </row>
    <row r="10" spans="1:2" x14ac:dyDescent="0.25">
      <c r="A10">
        <v>9</v>
      </c>
    </row>
    <row r="11" spans="1:2" x14ac:dyDescent="0.25">
      <c r="A11">
        <v>10</v>
      </c>
    </row>
    <row r="12" spans="1:2" x14ac:dyDescent="0.25">
      <c r="A12">
        <v>11</v>
      </c>
    </row>
    <row r="13" spans="1:2" x14ac:dyDescent="0.25">
      <c r="A13">
        <v>12</v>
      </c>
    </row>
    <row r="14" spans="1:2" x14ac:dyDescent="0.25">
      <c r="A14">
        <v>13</v>
      </c>
    </row>
    <row r="15" spans="1:2" x14ac:dyDescent="0.25">
      <c r="A15">
        <v>14</v>
      </c>
    </row>
    <row r="17" spans="2:2" x14ac:dyDescent="0.25">
      <c r="B17" t="s">
        <v>381</v>
      </c>
    </row>
  </sheetData>
  <hyperlinks>
    <hyperlink ref="A1" location="Contents!A1" display="Contents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zoomScale="145" zoomScaleNormal="145" workbookViewId="0">
      <selection sqref="A1:XFD1"/>
    </sheetView>
  </sheetViews>
  <sheetFormatPr defaultRowHeight="15" x14ac:dyDescent="0.25"/>
  <cols>
    <col min="1" max="1" width="3.140625" customWidth="1"/>
    <col min="2" max="5" width="10.85546875" customWidth="1"/>
    <col min="6" max="6" width="12.5703125" customWidth="1"/>
    <col min="7" max="7" width="12" customWidth="1"/>
    <col min="8" max="8" width="10.85546875" customWidth="1"/>
  </cols>
  <sheetData>
    <row r="1" spans="1:12" ht="26.25" x14ac:dyDescent="0.4">
      <c r="B1" s="57" t="s">
        <v>181</v>
      </c>
    </row>
    <row r="2" spans="1:12" x14ac:dyDescent="0.25">
      <c r="B2" s="2" t="s">
        <v>137</v>
      </c>
      <c r="C2" s="2" t="s">
        <v>3</v>
      </c>
      <c r="D2" s="2" t="s">
        <v>4</v>
      </c>
      <c r="E2" s="2" t="s">
        <v>2</v>
      </c>
      <c r="F2" s="2" t="s">
        <v>32</v>
      </c>
      <c r="G2" s="2" t="s">
        <v>5</v>
      </c>
      <c r="H2" s="4" t="s">
        <v>38</v>
      </c>
      <c r="J2" s="52" t="s">
        <v>74</v>
      </c>
      <c r="K2" s="1" t="s">
        <v>138</v>
      </c>
      <c r="L2" t="s">
        <v>9</v>
      </c>
    </row>
    <row r="3" spans="1:12" x14ac:dyDescent="0.25">
      <c r="B3" s="2" t="s">
        <v>8</v>
      </c>
      <c r="C3" s="2" t="s">
        <v>9</v>
      </c>
      <c r="D3" s="2" t="s">
        <v>7</v>
      </c>
      <c r="E3" s="2"/>
      <c r="F3" s="2" t="s">
        <v>33</v>
      </c>
      <c r="G3" s="2" t="s">
        <v>10</v>
      </c>
      <c r="H3" s="4" t="s">
        <v>39</v>
      </c>
    </row>
    <row r="4" spans="1:12" x14ac:dyDescent="0.25">
      <c r="B4" s="1">
        <v>29</v>
      </c>
      <c r="C4" s="1" t="s">
        <v>13</v>
      </c>
      <c r="D4" s="1" t="s">
        <v>36</v>
      </c>
      <c r="E4" s="1" t="s">
        <v>12</v>
      </c>
      <c r="F4" s="3" t="s">
        <v>11</v>
      </c>
      <c r="G4" s="1" t="s">
        <v>14</v>
      </c>
      <c r="H4" s="5">
        <v>13</v>
      </c>
      <c r="J4" t="s">
        <v>46</v>
      </c>
      <c r="K4" s="1" t="s">
        <v>25</v>
      </c>
      <c r="L4" s="1"/>
    </row>
    <row r="5" spans="1:12" x14ac:dyDescent="0.25">
      <c r="B5" s="1">
        <v>37</v>
      </c>
      <c r="C5" s="1" t="s">
        <v>17</v>
      </c>
      <c r="D5" s="1" t="s">
        <v>37</v>
      </c>
      <c r="E5" s="1" t="s">
        <v>16</v>
      </c>
      <c r="F5" s="3" t="s">
        <v>15</v>
      </c>
      <c r="G5" s="1" t="s">
        <v>18</v>
      </c>
      <c r="H5" s="5">
        <v>10</v>
      </c>
      <c r="J5" t="s">
        <v>44</v>
      </c>
      <c r="K5" s="1" t="s">
        <v>143</v>
      </c>
      <c r="L5" s="1">
        <v>4</v>
      </c>
    </row>
    <row r="6" spans="1:12" x14ac:dyDescent="0.25">
      <c r="B6" s="1">
        <v>31</v>
      </c>
      <c r="C6" s="1" t="s">
        <v>21</v>
      </c>
      <c r="D6" s="1" t="s">
        <v>35</v>
      </c>
      <c r="E6" s="1" t="s">
        <v>20</v>
      </c>
      <c r="F6" s="3" t="s">
        <v>19</v>
      </c>
      <c r="G6" s="1" t="s">
        <v>22</v>
      </c>
      <c r="H6" s="5">
        <v>12</v>
      </c>
      <c r="J6" t="s">
        <v>139</v>
      </c>
      <c r="K6" s="1" t="s">
        <v>140</v>
      </c>
      <c r="L6" s="1">
        <v>17</v>
      </c>
    </row>
    <row r="7" spans="1:12" x14ac:dyDescent="0.25">
      <c r="B7" s="1">
        <v>30</v>
      </c>
      <c r="C7" s="1" t="s">
        <v>24</v>
      </c>
      <c r="D7" s="1" t="s">
        <v>34</v>
      </c>
      <c r="E7" s="1" t="s">
        <v>23</v>
      </c>
      <c r="F7" s="3" t="s">
        <v>14</v>
      </c>
      <c r="G7" s="1" t="s">
        <v>15</v>
      </c>
      <c r="H7" s="5">
        <v>11</v>
      </c>
      <c r="J7" t="s">
        <v>141</v>
      </c>
      <c r="K7" s="1" t="s">
        <v>14</v>
      </c>
      <c r="L7" s="1">
        <v>5</v>
      </c>
    </row>
    <row r="8" spans="1:12" x14ac:dyDescent="0.25">
      <c r="B8" s="1"/>
      <c r="C8" s="1"/>
      <c r="D8" s="1" t="s">
        <v>25</v>
      </c>
      <c r="E8" s="1" t="s">
        <v>26</v>
      </c>
      <c r="F8" s="3"/>
      <c r="G8" s="1">
        <v>0</v>
      </c>
      <c r="H8" s="5" t="s">
        <v>25</v>
      </c>
      <c r="J8" t="s">
        <v>57</v>
      </c>
      <c r="K8" s="1" t="s">
        <v>15</v>
      </c>
      <c r="L8" s="1">
        <v>18</v>
      </c>
    </row>
    <row r="9" spans="1:12" x14ac:dyDescent="0.25">
      <c r="B9" s="1"/>
      <c r="C9" s="1"/>
      <c r="D9" s="1" t="s">
        <v>29</v>
      </c>
      <c r="E9" s="1" t="s">
        <v>28</v>
      </c>
      <c r="F9" s="3"/>
      <c r="G9" s="1" t="s">
        <v>27</v>
      </c>
      <c r="H9" s="6" t="s">
        <v>27</v>
      </c>
      <c r="J9" s="53" t="s">
        <v>26</v>
      </c>
      <c r="K9" s="1" t="s">
        <v>19</v>
      </c>
      <c r="L9" s="1">
        <v>19</v>
      </c>
    </row>
    <row r="10" spans="1:12" x14ac:dyDescent="0.25">
      <c r="A10" s="1"/>
      <c r="B10" s="1"/>
      <c r="C10" s="1"/>
      <c r="D10" s="1"/>
      <c r="E10" s="1"/>
      <c r="F10" s="1"/>
      <c r="G10" s="1"/>
      <c r="J10" t="s">
        <v>23</v>
      </c>
      <c r="K10" s="1" t="s">
        <v>142</v>
      </c>
      <c r="L10" s="1">
        <v>23</v>
      </c>
    </row>
    <row r="11" spans="1:12" x14ac:dyDescent="0.25">
      <c r="A11" s="1"/>
      <c r="B11" s="1"/>
      <c r="C11" s="1"/>
      <c r="D11" s="1"/>
      <c r="E11" s="1"/>
      <c r="F11" s="1"/>
      <c r="G11" s="1"/>
    </row>
    <row r="12" spans="1:12" x14ac:dyDescent="0.25">
      <c r="A12" s="1"/>
      <c r="B12" s="1"/>
      <c r="C12" s="1"/>
      <c r="D12" s="1"/>
      <c r="E12" s="1"/>
      <c r="F12" s="1"/>
      <c r="G12" s="1"/>
    </row>
    <row r="13" spans="1:12" x14ac:dyDescent="0.25">
      <c r="A13" s="1"/>
      <c r="B13" s="1"/>
      <c r="C13" s="1"/>
      <c r="E13" s="1"/>
      <c r="F13" s="1"/>
      <c r="G13" s="1"/>
    </row>
    <row r="14" spans="1:12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12" x14ac:dyDescent="0.25">
      <c r="B15" s="1"/>
      <c r="C15" s="1"/>
      <c r="D15" s="1"/>
      <c r="E15" s="1"/>
      <c r="F15" s="1"/>
      <c r="G15" s="1"/>
      <c r="H15" s="1"/>
      <c r="I15" s="1"/>
    </row>
    <row r="16" spans="1:12" x14ac:dyDescent="0.25">
      <c r="B16" s="1"/>
      <c r="C16" s="1"/>
      <c r="D16" s="1"/>
      <c r="E16" s="1"/>
      <c r="F16" s="1"/>
      <c r="G16" s="1"/>
      <c r="H16" s="1"/>
      <c r="I16" s="1"/>
    </row>
    <row r="17" spans="1:9" x14ac:dyDescent="0.25"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</sheetData>
  <hyperlinks>
    <hyperlink ref="B1" location="Contents!A1" display="Contents!A1"/>
  </hyperlinks>
  <pageMargins left="0.7" right="0.7" top="0.75" bottom="0.75" header="0.3" footer="0.3"/>
  <pageSetup orientation="portrait" horizontalDpi="4294967293" verticalDpi="36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J13" sqref="B13:J13"/>
    </sheetView>
  </sheetViews>
  <sheetFormatPr defaultRowHeight="15" x14ac:dyDescent="0.25"/>
  <cols>
    <col min="3" max="3" width="20.7109375" customWidth="1"/>
    <col min="4" max="4" width="23.28515625" bestFit="1" customWidth="1"/>
    <col min="5" max="5" width="18.28515625" customWidth="1"/>
    <col min="6" max="6" width="18.28515625" bestFit="1" customWidth="1"/>
    <col min="7" max="7" width="16.5703125" bestFit="1" customWidth="1"/>
    <col min="8" max="8" width="47.28515625" customWidth="1"/>
    <col min="10" max="10" width="39.7109375" customWidth="1"/>
    <col min="11" max="11" width="36.42578125" bestFit="1" customWidth="1"/>
    <col min="12" max="12" width="20.7109375" bestFit="1" customWidth="1"/>
  </cols>
  <sheetData>
    <row r="1" spans="1:13" s="58" customFormat="1" ht="26.25" x14ac:dyDescent="0.4">
      <c r="A1" s="57" t="s">
        <v>181</v>
      </c>
    </row>
    <row r="2" spans="1:13" x14ac:dyDescent="0.25">
      <c r="C2" t="s">
        <v>182</v>
      </c>
      <c r="D2" t="s">
        <v>193</v>
      </c>
      <c r="E2" t="s">
        <v>195</v>
      </c>
      <c r="F2" t="s">
        <v>184</v>
      </c>
      <c r="G2" t="s">
        <v>183</v>
      </c>
      <c r="H2" t="s">
        <v>185</v>
      </c>
      <c r="I2" t="s">
        <v>186</v>
      </c>
      <c r="J2" t="s">
        <v>187</v>
      </c>
      <c r="K2" t="s">
        <v>244</v>
      </c>
      <c r="L2" t="s">
        <v>191</v>
      </c>
      <c r="M2" t="s">
        <v>243</v>
      </c>
    </row>
    <row r="3" spans="1:13" x14ac:dyDescent="0.25">
      <c r="B3">
        <v>1</v>
      </c>
      <c r="C3" t="s">
        <v>245</v>
      </c>
      <c r="D3" t="s">
        <v>194</v>
      </c>
      <c r="E3" t="s">
        <v>211</v>
      </c>
      <c r="F3">
        <v>5</v>
      </c>
      <c r="G3" t="s">
        <v>189</v>
      </c>
      <c r="H3" t="s">
        <v>190</v>
      </c>
      <c r="I3" t="s">
        <v>188</v>
      </c>
      <c r="J3" s="59" t="s">
        <v>207</v>
      </c>
      <c r="K3" t="s">
        <v>246</v>
      </c>
      <c r="L3" t="s">
        <v>192</v>
      </c>
    </row>
    <row r="4" spans="1:13" x14ac:dyDescent="0.25">
      <c r="B4">
        <v>2</v>
      </c>
      <c r="C4" t="s">
        <v>196</v>
      </c>
      <c r="D4" t="s">
        <v>197</v>
      </c>
      <c r="F4" t="s">
        <v>198</v>
      </c>
      <c r="H4" t="s">
        <v>218</v>
      </c>
      <c r="I4" t="s">
        <v>201</v>
      </c>
      <c r="J4" s="60" t="s">
        <v>251</v>
      </c>
      <c r="K4" t="s">
        <v>247</v>
      </c>
      <c r="L4" t="s">
        <v>200</v>
      </c>
    </row>
    <row r="5" spans="1:13" x14ac:dyDescent="0.25">
      <c r="B5">
        <v>3</v>
      </c>
      <c r="C5" t="s">
        <v>202</v>
      </c>
      <c r="D5" t="s">
        <v>204</v>
      </c>
      <c r="E5" t="s">
        <v>210</v>
      </c>
      <c r="G5" t="s">
        <v>205</v>
      </c>
      <c r="H5" t="s">
        <v>199</v>
      </c>
      <c r="I5" t="s">
        <v>203</v>
      </c>
      <c r="J5" s="61" t="s">
        <v>206</v>
      </c>
      <c r="K5" t="s">
        <v>247</v>
      </c>
      <c r="M5" s="56" t="s">
        <v>208</v>
      </c>
    </row>
    <row r="6" spans="1:13" x14ac:dyDescent="0.25">
      <c r="B6">
        <v>4</v>
      </c>
      <c r="C6" t="s">
        <v>209</v>
      </c>
      <c r="D6" t="s">
        <v>212</v>
      </c>
      <c r="F6" t="s">
        <v>213</v>
      </c>
      <c r="H6" t="s">
        <v>219</v>
      </c>
      <c r="I6" t="s">
        <v>201</v>
      </c>
      <c r="J6" s="60" t="s">
        <v>251</v>
      </c>
      <c r="K6" t="s">
        <v>247</v>
      </c>
    </row>
    <row r="7" spans="1:13" x14ac:dyDescent="0.25">
      <c r="B7">
        <v>5</v>
      </c>
      <c r="C7" t="s">
        <v>214</v>
      </c>
      <c r="D7" t="s">
        <v>215</v>
      </c>
      <c r="F7" t="s">
        <v>213</v>
      </c>
      <c r="H7" t="s">
        <v>220</v>
      </c>
      <c r="I7" t="s">
        <v>201</v>
      </c>
      <c r="J7" s="60" t="s">
        <v>251</v>
      </c>
      <c r="K7" t="s">
        <v>247</v>
      </c>
    </row>
    <row r="8" spans="1:13" x14ac:dyDescent="0.25">
      <c r="B8">
        <v>6</v>
      </c>
      <c r="C8" t="s">
        <v>216</v>
      </c>
      <c r="D8" t="s">
        <v>223</v>
      </c>
      <c r="H8" t="s">
        <v>221</v>
      </c>
      <c r="I8" t="s">
        <v>201</v>
      </c>
      <c r="J8" s="60" t="s">
        <v>251</v>
      </c>
    </row>
    <row r="9" spans="1:13" x14ac:dyDescent="0.25">
      <c r="B9">
        <v>7</v>
      </c>
      <c r="C9" t="s">
        <v>217</v>
      </c>
      <c r="D9" t="s">
        <v>222</v>
      </c>
      <c r="F9" t="s">
        <v>224</v>
      </c>
      <c r="G9" t="s">
        <v>225</v>
      </c>
      <c r="H9" t="s">
        <v>231</v>
      </c>
      <c r="I9" t="s">
        <v>227</v>
      </c>
      <c r="J9" s="63" t="s">
        <v>252</v>
      </c>
      <c r="L9" t="s">
        <v>255</v>
      </c>
    </row>
    <row r="10" spans="1:13" x14ac:dyDescent="0.25">
      <c r="B10">
        <v>8</v>
      </c>
      <c r="C10" t="s">
        <v>228</v>
      </c>
      <c r="D10" t="s">
        <v>229</v>
      </c>
      <c r="F10" t="s">
        <v>27</v>
      </c>
      <c r="G10" t="s">
        <v>230</v>
      </c>
      <c r="H10" t="s">
        <v>226</v>
      </c>
      <c r="I10" t="s">
        <v>227</v>
      </c>
      <c r="J10" s="63" t="s">
        <v>252</v>
      </c>
    </row>
    <row r="11" spans="1:13" x14ac:dyDescent="0.25">
      <c r="B11">
        <v>9</v>
      </c>
      <c r="C11" t="s">
        <v>232</v>
      </c>
      <c r="D11" t="s">
        <v>234</v>
      </c>
      <c r="H11" t="s">
        <v>235</v>
      </c>
      <c r="I11" t="s">
        <v>241</v>
      </c>
      <c r="J11" s="62" t="s">
        <v>233</v>
      </c>
    </row>
    <row r="12" spans="1:13" x14ac:dyDescent="0.25">
      <c r="B12">
        <v>10</v>
      </c>
      <c r="C12" t="s">
        <v>236</v>
      </c>
      <c r="D12" t="s">
        <v>237</v>
      </c>
      <c r="F12" t="s">
        <v>238</v>
      </c>
      <c r="H12" t="s">
        <v>239</v>
      </c>
      <c r="I12" t="s">
        <v>240</v>
      </c>
      <c r="J12" s="64" t="s">
        <v>242</v>
      </c>
    </row>
    <row r="13" spans="1:13" x14ac:dyDescent="0.25">
      <c r="B13">
        <v>11</v>
      </c>
      <c r="C13" t="s">
        <v>248</v>
      </c>
      <c r="J13" s="63" t="s">
        <v>250</v>
      </c>
    </row>
    <row r="14" spans="1:13" x14ac:dyDescent="0.25">
      <c r="B14">
        <v>12</v>
      </c>
      <c r="C14" t="s">
        <v>249</v>
      </c>
      <c r="H14" t="s">
        <v>254</v>
      </c>
      <c r="J14" s="65" t="s">
        <v>253</v>
      </c>
    </row>
    <row r="15" spans="1:13" x14ac:dyDescent="0.25">
      <c r="B15">
        <v>13</v>
      </c>
    </row>
    <row r="16" spans="1:13" x14ac:dyDescent="0.25">
      <c r="B16">
        <v>14</v>
      </c>
    </row>
    <row r="17" spans="2:2" x14ac:dyDescent="0.25">
      <c r="B17">
        <v>15</v>
      </c>
    </row>
  </sheetData>
  <hyperlinks>
    <hyperlink ref="A1" location="Contents!A1" display="Contents!A1"/>
    <hyperlink ref="M5" r:id="rId1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XFD1"/>
    </sheetView>
  </sheetViews>
  <sheetFormatPr defaultRowHeight="15" x14ac:dyDescent="0.25"/>
  <cols>
    <col min="1" max="1" width="83.42578125" customWidth="1"/>
  </cols>
  <sheetData>
    <row r="1" spans="1:2" ht="26.25" x14ac:dyDescent="0.4">
      <c r="A1" s="57" t="s">
        <v>181</v>
      </c>
    </row>
    <row r="3" spans="1:2" x14ac:dyDescent="0.25">
      <c r="A3" t="s">
        <v>259</v>
      </c>
    </row>
    <row r="4" spans="1:2" x14ac:dyDescent="0.25">
      <c r="A4" t="s">
        <v>260</v>
      </c>
      <c r="B4" t="s">
        <v>261</v>
      </c>
    </row>
    <row r="7" spans="1:2" x14ac:dyDescent="0.25">
      <c r="A7" s="89" t="s">
        <v>178</v>
      </c>
    </row>
  </sheetData>
  <hyperlinks>
    <hyperlink ref="A1" location="Contents!A1" display="Contents!A1"/>
    <hyperlink ref="A7" location="'TO DO'!A1" display="'TO DO'!A1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RowHeight="15" x14ac:dyDescent="0.25"/>
  <cols>
    <col min="1" max="1" width="21.42578125" bestFit="1" customWidth="1"/>
    <col min="2" max="2" width="20" bestFit="1" customWidth="1"/>
    <col min="3" max="3" width="13.5703125" bestFit="1" customWidth="1"/>
    <col min="4" max="4" width="75.7109375" bestFit="1" customWidth="1"/>
  </cols>
  <sheetData>
    <row r="1" spans="1:4" ht="26.25" x14ac:dyDescent="0.4">
      <c r="A1" s="57" t="s">
        <v>181</v>
      </c>
      <c r="B1" s="57"/>
      <c r="C1" s="57"/>
    </row>
    <row r="3" spans="1:4" x14ac:dyDescent="0.25">
      <c r="A3" t="s">
        <v>475</v>
      </c>
      <c r="B3" t="s">
        <v>478</v>
      </c>
      <c r="C3" t="s">
        <v>477</v>
      </c>
    </row>
    <row r="4" spans="1:4" x14ac:dyDescent="0.25">
      <c r="A4" t="s">
        <v>473</v>
      </c>
      <c r="D4" t="s">
        <v>474</v>
      </c>
    </row>
    <row r="5" spans="1:4" x14ac:dyDescent="0.25">
      <c r="A5" t="s">
        <v>473</v>
      </c>
      <c r="D5" t="s">
        <v>476</v>
      </c>
    </row>
    <row r="6" spans="1:4" x14ac:dyDescent="0.25">
      <c r="A6" t="s">
        <v>480</v>
      </c>
      <c r="B6">
        <v>1</v>
      </c>
      <c r="C6">
        <v>20</v>
      </c>
      <c r="D6" t="s">
        <v>479</v>
      </c>
    </row>
    <row r="7" spans="1:4" x14ac:dyDescent="0.25">
      <c r="A7" t="s">
        <v>480</v>
      </c>
      <c r="B7">
        <v>1.5</v>
      </c>
      <c r="C7">
        <v>50</v>
      </c>
      <c r="D7" t="s">
        <v>573</v>
      </c>
    </row>
    <row r="8" spans="1:4" x14ac:dyDescent="0.25">
      <c r="A8" t="s">
        <v>480</v>
      </c>
      <c r="B8">
        <v>0.2</v>
      </c>
      <c r="C8">
        <v>50</v>
      </c>
      <c r="D8" t="s">
        <v>574</v>
      </c>
    </row>
    <row r="9" spans="1:4" x14ac:dyDescent="0.25">
      <c r="A9" t="s">
        <v>481</v>
      </c>
      <c r="B9" t="s">
        <v>482</v>
      </c>
      <c r="C9" t="s">
        <v>483</v>
      </c>
      <c r="D9" t="s">
        <v>484</v>
      </c>
    </row>
  </sheetData>
  <hyperlinks>
    <hyperlink ref="A1" location="Contents!A1" display="Contents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zoomScale="160" zoomScaleNormal="160" workbookViewId="0">
      <selection sqref="A1:XFD1"/>
    </sheetView>
  </sheetViews>
  <sheetFormatPr defaultRowHeight="15" x14ac:dyDescent="0.25"/>
  <sheetData>
    <row r="1" spans="1:2" ht="26.25" x14ac:dyDescent="0.4">
      <c r="B1" s="57" t="s">
        <v>181</v>
      </c>
    </row>
    <row r="2" spans="1:2" x14ac:dyDescent="0.25">
      <c r="A2" s="2" t="s">
        <v>0</v>
      </c>
      <c r="B2" s="2" t="s">
        <v>1</v>
      </c>
    </row>
    <row r="3" spans="1:2" x14ac:dyDescent="0.25">
      <c r="A3" s="2" t="s">
        <v>7</v>
      </c>
      <c r="B3" s="2"/>
    </row>
    <row r="4" spans="1:2" x14ac:dyDescent="0.25">
      <c r="A4" s="1">
        <v>10</v>
      </c>
      <c r="B4" s="1" t="s">
        <v>11</v>
      </c>
    </row>
    <row r="5" spans="1:2" x14ac:dyDescent="0.25">
      <c r="A5" s="1">
        <v>11</v>
      </c>
      <c r="B5" s="1" t="s">
        <v>15</v>
      </c>
    </row>
    <row r="6" spans="1:2" x14ac:dyDescent="0.25">
      <c r="A6" s="1">
        <v>12</v>
      </c>
      <c r="B6" s="1" t="s">
        <v>19</v>
      </c>
    </row>
    <row r="7" spans="1:2" x14ac:dyDescent="0.25">
      <c r="A7" s="1">
        <v>13</v>
      </c>
      <c r="B7" s="1" t="s">
        <v>14</v>
      </c>
    </row>
    <row r="8" spans="1:2" x14ac:dyDescent="0.25">
      <c r="A8" s="1" t="s">
        <v>25</v>
      </c>
      <c r="B8" s="1"/>
    </row>
    <row r="9" spans="1:2" x14ac:dyDescent="0.25">
      <c r="A9" s="1" t="s">
        <v>27</v>
      </c>
      <c r="B9" s="1"/>
    </row>
    <row r="11" spans="1:2" x14ac:dyDescent="0.25">
      <c r="A11" s="1" t="s">
        <v>30</v>
      </c>
    </row>
    <row r="12" spans="1:2" x14ac:dyDescent="0.25">
      <c r="A12" s="1" t="s">
        <v>31</v>
      </c>
    </row>
  </sheetData>
  <hyperlinks>
    <hyperlink ref="B1" location="Contents!A1" display="Contents!A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2"/>
  <sheetViews>
    <sheetView zoomScale="130" zoomScaleNormal="130" workbookViewId="0">
      <selection activeCell="B1" sqref="B1"/>
    </sheetView>
  </sheetViews>
  <sheetFormatPr defaultRowHeight="15" x14ac:dyDescent="0.25"/>
  <cols>
    <col min="10" max="10" width="13.28515625" customWidth="1"/>
    <col min="11" max="11" width="17.42578125" customWidth="1"/>
    <col min="12" max="12" width="10.85546875" customWidth="1"/>
  </cols>
  <sheetData>
    <row r="1" spans="2:12" ht="26.25" x14ac:dyDescent="0.4">
      <c r="B1" s="57" t="s">
        <v>181</v>
      </c>
    </row>
    <row r="3" spans="2:12" x14ac:dyDescent="0.25">
      <c r="B3" s="7" t="s">
        <v>40</v>
      </c>
      <c r="C3" s="7" t="s">
        <v>40</v>
      </c>
      <c r="D3" s="45" t="s">
        <v>2</v>
      </c>
      <c r="E3" s="45" t="s">
        <v>2</v>
      </c>
      <c r="F3" s="7" t="s">
        <v>3</v>
      </c>
      <c r="G3" s="7" t="s">
        <v>3</v>
      </c>
      <c r="H3" s="7" t="s">
        <v>6</v>
      </c>
      <c r="J3" t="s">
        <v>60</v>
      </c>
    </row>
    <row r="4" spans="2:12" x14ac:dyDescent="0.25">
      <c r="B4" s="8" t="s">
        <v>7</v>
      </c>
      <c r="C4" s="8" t="s">
        <v>1</v>
      </c>
      <c r="D4" s="46" t="s">
        <v>41</v>
      </c>
      <c r="E4" s="46" t="s">
        <v>73</v>
      </c>
      <c r="F4" s="8" t="s">
        <v>7</v>
      </c>
      <c r="G4" s="8" t="s">
        <v>42</v>
      </c>
      <c r="H4" s="8"/>
      <c r="J4" t="s">
        <v>61</v>
      </c>
    </row>
    <row r="5" spans="2:12" x14ac:dyDescent="0.25">
      <c r="B5" s="9">
        <v>1</v>
      </c>
      <c r="C5" s="9" t="s">
        <v>43</v>
      </c>
      <c r="D5" s="47" t="s">
        <v>44</v>
      </c>
      <c r="E5" s="48" t="s">
        <v>75</v>
      </c>
      <c r="F5" s="9">
        <v>2</v>
      </c>
      <c r="G5" s="9"/>
      <c r="H5" s="9" t="s">
        <v>45</v>
      </c>
      <c r="J5" t="s">
        <v>62</v>
      </c>
      <c r="K5" t="s">
        <v>63</v>
      </c>
      <c r="L5" t="s">
        <v>64</v>
      </c>
    </row>
    <row r="6" spans="2:12" x14ac:dyDescent="0.25">
      <c r="B6" s="9">
        <v>4</v>
      </c>
      <c r="C6" s="9" t="s">
        <v>25</v>
      </c>
      <c r="D6" s="47" t="s">
        <v>46</v>
      </c>
      <c r="E6" s="48" t="s">
        <v>74</v>
      </c>
      <c r="F6" s="9">
        <v>1</v>
      </c>
      <c r="G6" s="9" t="s">
        <v>25</v>
      </c>
      <c r="H6" s="9" t="s">
        <v>25</v>
      </c>
      <c r="J6">
        <v>1</v>
      </c>
      <c r="K6" t="s">
        <v>65</v>
      </c>
      <c r="L6" t="s">
        <v>66</v>
      </c>
    </row>
    <row r="7" spans="2:12" x14ac:dyDescent="0.25">
      <c r="B7" s="43">
        <v>5</v>
      </c>
      <c r="C7" s="43" t="s">
        <v>47</v>
      </c>
      <c r="D7" s="49" t="s">
        <v>26</v>
      </c>
      <c r="E7" s="50" t="s">
        <v>46</v>
      </c>
      <c r="F7" s="43">
        <v>14</v>
      </c>
      <c r="G7" s="9" t="s">
        <v>48</v>
      </c>
      <c r="H7" s="9">
        <v>12</v>
      </c>
      <c r="J7">
        <v>2</v>
      </c>
      <c r="K7" t="s">
        <v>67</v>
      </c>
      <c r="L7" t="s">
        <v>53</v>
      </c>
    </row>
    <row r="8" spans="2:12" x14ac:dyDescent="0.25">
      <c r="B8" s="43">
        <v>7</v>
      </c>
      <c r="C8" s="43" t="s">
        <v>49</v>
      </c>
      <c r="D8" s="49" t="s">
        <v>23</v>
      </c>
      <c r="E8" s="50" t="s">
        <v>26</v>
      </c>
      <c r="F8" s="43">
        <v>13</v>
      </c>
      <c r="G8" s="9" t="s">
        <v>50</v>
      </c>
      <c r="H8" s="9">
        <v>14</v>
      </c>
      <c r="J8">
        <v>3</v>
      </c>
      <c r="K8" t="s">
        <v>68</v>
      </c>
      <c r="L8" t="s">
        <v>47</v>
      </c>
    </row>
    <row r="9" spans="2:12" x14ac:dyDescent="0.25">
      <c r="B9" s="43">
        <v>9</v>
      </c>
      <c r="C9" s="43" t="s">
        <v>51</v>
      </c>
      <c r="D9" s="49" t="s">
        <v>28</v>
      </c>
      <c r="E9" s="50" t="s">
        <v>23</v>
      </c>
      <c r="F9" s="43">
        <v>16</v>
      </c>
      <c r="G9" s="9" t="s">
        <v>52</v>
      </c>
      <c r="H9" s="9">
        <v>13</v>
      </c>
      <c r="J9">
        <v>4</v>
      </c>
      <c r="K9" t="s">
        <v>69</v>
      </c>
      <c r="L9" t="s">
        <v>51</v>
      </c>
    </row>
    <row r="10" spans="2:12" x14ac:dyDescent="0.25">
      <c r="B10" s="43">
        <v>13</v>
      </c>
      <c r="C10" s="43" t="s">
        <v>53</v>
      </c>
      <c r="D10" s="49" t="s">
        <v>54</v>
      </c>
      <c r="E10" s="50" t="s">
        <v>54</v>
      </c>
      <c r="F10" s="43">
        <v>23</v>
      </c>
      <c r="G10" s="9" t="s">
        <v>55</v>
      </c>
      <c r="H10" s="9">
        <v>15</v>
      </c>
      <c r="J10">
        <v>5</v>
      </c>
      <c r="K10" t="s">
        <v>70</v>
      </c>
      <c r="L10" t="s">
        <v>49</v>
      </c>
    </row>
    <row r="11" spans="2:12" x14ac:dyDescent="0.25">
      <c r="B11" s="44">
        <v>15</v>
      </c>
      <c r="C11" s="44" t="s">
        <v>56</v>
      </c>
      <c r="D11" s="51" t="s">
        <v>57</v>
      </c>
      <c r="E11" s="51" t="s">
        <v>57</v>
      </c>
      <c r="F11" s="44">
        <v>3</v>
      </c>
      <c r="G11" s="39" t="s">
        <v>58</v>
      </c>
      <c r="H11" s="39" t="s">
        <v>59</v>
      </c>
      <c r="J11">
        <v>6</v>
      </c>
      <c r="K11" t="s">
        <v>25</v>
      </c>
      <c r="L11" t="s">
        <v>25</v>
      </c>
    </row>
    <row r="12" spans="2:12" x14ac:dyDescent="0.25">
      <c r="B12" s="40">
        <v>3</v>
      </c>
      <c r="C12" s="41" t="s">
        <v>72</v>
      </c>
      <c r="D12" s="42"/>
      <c r="E12" s="40" t="s">
        <v>76</v>
      </c>
      <c r="F12" s="42"/>
      <c r="G12" s="42"/>
      <c r="H12" s="42"/>
      <c r="J12" t="s">
        <v>71</v>
      </c>
    </row>
  </sheetData>
  <hyperlinks>
    <hyperlink ref="B1" location="Contents!A1" display="Contents!A1"/>
  </hyperlinks>
  <pageMargins left="0.7" right="0.7" top="0.75" bottom="0.75" header="0.3" footer="0.3"/>
  <pageSetup orientation="portrait" horizontalDpi="4294967293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sqref="A1:XFD1"/>
    </sheetView>
  </sheetViews>
  <sheetFormatPr defaultRowHeight="15" x14ac:dyDescent="0.25"/>
  <cols>
    <col min="1" max="1" width="13.42578125" bestFit="1" customWidth="1"/>
    <col min="2" max="2" width="13.42578125" customWidth="1"/>
    <col min="3" max="3" width="17.7109375" customWidth="1"/>
    <col min="4" max="4" width="17.140625" customWidth="1"/>
  </cols>
  <sheetData>
    <row r="1" spans="1:4" ht="26.25" x14ac:dyDescent="0.4">
      <c r="B1" s="57" t="s">
        <v>181</v>
      </c>
    </row>
    <row r="2" spans="1:4" x14ac:dyDescent="0.25">
      <c r="B2" t="s">
        <v>80</v>
      </c>
      <c r="C2" s="11" t="s">
        <v>79</v>
      </c>
    </row>
    <row r="3" spans="1:4" x14ac:dyDescent="0.25">
      <c r="A3" t="s">
        <v>77</v>
      </c>
      <c r="C3" s="14">
        <v>2000000000</v>
      </c>
      <c r="D3" s="13" t="s">
        <v>88</v>
      </c>
    </row>
    <row r="4" spans="1:4" x14ac:dyDescent="0.25">
      <c r="A4" t="s">
        <v>78</v>
      </c>
      <c r="C4" s="12">
        <v>2</v>
      </c>
      <c r="D4" t="s">
        <v>89</v>
      </c>
    </row>
    <row r="5" spans="1:4" x14ac:dyDescent="0.25">
      <c r="A5" t="s">
        <v>81</v>
      </c>
      <c r="B5" s="12">
        <v>12</v>
      </c>
      <c r="C5">
        <f>C4*12</f>
        <v>24</v>
      </c>
      <c r="D5" t="s">
        <v>89</v>
      </c>
    </row>
    <row r="6" spans="1:4" x14ac:dyDescent="0.25">
      <c r="A6" t="s">
        <v>82</v>
      </c>
      <c r="C6" s="12">
        <v>1</v>
      </c>
      <c r="D6" t="s">
        <v>83</v>
      </c>
    </row>
    <row r="7" spans="1:4" x14ac:dyDescent="0.25">
      <c r="A7" t="s">
        <v>84</v>
      </c>
      <c r="C7">
        <f>C6*C3/C5</f>
        <v>83333333.333333328</v>
      </c>
      <c r="D7" t="s">
        <v>83</v>
      </c>
    </row>
    <row r="8" spans="1:4" x14ac:dyDescent="0.25">
      <c r="C8">
        <f>C7/3600</f>
        <v>23148.148148148146</v>
      </c>
      <c r="D8" t="s">
        <v>85</v>
      </c>
    </row>
    <row r="9" spans="1:4" x14ac:dyDescent="0.25">
      <c r="C9">
        <f>C8/25</f>
        <v>925.92592592592587</v>
      </c>
      <c r="D9" t="s">
        <v>86</v>
      </c>
    </row>
    <row r="10" spans="1:4" x14ac:dyDescent="0.25">
      <c r="C10">
        <f>C9/365</f>
        <v>2.5367833587011668</v>
      </c>
      <c r="D10" t="s">
        <v>87</v>
      </c>
    </row>
  </sheetData>
  <hyperlinks>
    <hyperlink ref="B1" location="Contents!A1" display="Contents!A1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sqref="A1:XFD1"/>
    </sheetView>
  </sheetViews>
  <sheetFormatPr defaultRowHeight="15" x14ac:dyDescent="0.25"/>
  <cols>
    <col min="1" max="1" width="36.5703125" bestFit="1" customWidth="1"/>
  </cols>
  <sheetData>
    <row r="1" spans="1:3" ht="26.25" x14ac:dyDescent="0.4">
      <c r="B1" s="57" t="s">
        <v>181</v>
      </c>
    </row>
    <row r="2" spans="1:3" x14ac:dyDescent="0.25">
      <c r="A2" t="s">
        <v>90</v>
      </c>
      <c r="B2">
        <v>8000</v>
      </c>
      <c r="C2" t="s">
        <v>91</v>
      </c>
    </row>
    <row r="3" spans="1:3" x14ac:dyDescent="0.25">
      <c r="A3" t="s">
        <v>93</v>
      </c>
      <c r="B3">
        <v>65507</v>
      </c>
      <c r="C3" t="s">
        <v>91</v>
      </c>
    </row>
    <row r="4" spans="1:3" x14ac:dyDescent="0.25">
      <c r="A4" t="s">
        <v>92</v>
      </c>
      <c r="B4">
        <v>1500</v>
      </c>
      <c r="C4" t="s">
        <v>91</v>
      </c>
    </row>
    <row r="5" spans="1:3" x14ac:dyDescent="0.25">
      <c r="A5" t="s">
        <v>94</v>
      </c>
      <c r="B5">
        <v>508</v>
      </c>
      <c r="C5" t="s">
        <v>91</v>
      </c>
    </row>
    <row r="8" spans="1:3" x14ac:dyDescent="0.25">
      <c r="A8" t="s">
        <v>336</v>
      </c>
    </row>
    <row r="9" spans="1:3" x14ac:dyDescent="0.25">
      <c r="A9" t="s">
        <v>335</v>
      </c>
    </row>
  </sheetData>
  <hyperlinks>
    <hyperlink ref="B1" location="Contents!A1" display="Contents!A1"/>
  </hyperlinks>
  <pageMargins left="0.7" right="0.7" top="0.75" bottom="0.75" header="0.3" footer="0.3"/>
  <pageSetup orientation="portrait" horizontalDpi="4294967293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B1" sqref="B1"/>
    </sheetView>
  </sheetViews>
  <sheetFormatPr defaultRowHeight="15" x14ac:dyDescent="0.25"/>
  <cols>
    <col min="1" max="1" width="14.28515625" customWidth="1"/>
    <col min="2" max="2" width="56.140625" customWidth="1"/>
    <col min="3" max="3" width="14.85546875" bestFit="1" customWidth="1"/>
    <col min="4" max="4" width="6" customWidth="1"/>
    <col min="5" max="5" width="20.5703125" bestFit="1" customWidth="1"/>
    <col min="6" max="6" width="25.140625" customWidth="1"/>
    <col min="7" max="7" width="18.85546875" customWidth="1"/>
  </cols>
  <sheetData>
    <row r="1" spans="1:7" ht="26.25" x14ac:dyDescent="0.4">
      <c r="B1" s="57" t="s">
        <v>181</v>
      </c>
    </row>
    <row r="2" spans="1:7" ht="21" x14ac:dyDescent="0.35">
      <c r="A2" s="15" t="s">
        <v>95</v>
      </c>
    </row>
    <row r="4" spans="1:7" ht="23.25" x14ac:dyDescent="0.35">
      <c r="A4" s="196" t="s">
        <v>280</v>
      </c>
      <c r="B4" s="196"/>
      <c r="C4" s="196"/>
      <c r="E4" s="196" t="s">
        <v>281</v>
      </c>
      <c r="F4" s="196"/>
      <c r="G4" s="196"/>
    </row>
    <row r="5" spans="1:7" x14ac:dyDescent="0.25">
      <c r="A5" t="s">
        <v>96</v>
      </c>
      <c r="B5" t="s">
        <v>97</v>
      </c>
      <c r="C5" t="s">
        <v>98</v>
      </c>
      <c r="E5" t="s">
        <v>96</v>
      </c>
      <c r="F5" t="s">
        <v>97</v>
      </c>
      <c r="G5" t="s">
        <v>98</v>
      </c>
    </row>
    <row r="6" spans="1:7" x14ac:dyDescent="0.25">
      <c r="A6" s="16">
        <v>0</v>
      </c>
      <c r="B6" s="16" t="s">
        <v>277</v>
      </c>
      <c r="C6" s="16" t="s">
        <v>103</v>
      </c>
      <c r="E6" s="16">
        <v>0</v>
      </c>
      <c r="F6" s="16" t="s">
        <v>149</v>
      </c>
      <c r="G6" s="16" t="s">
        <v>103</v>
      </c>
    </row>
    <row r="7" spans="1:7" x14ac:dyDescent="0.25">
      <c r="A7" s="16">
        <v>1</v>
      </c>
      <c r="B7" s="16" t="s">
        <v>279</v>
      </c>
      <c r="C7" s="16" t="s">
        <v>103</v>
      </c>
      <c r="E7" s="16">
        <v>1</v>
      </c>
      <c r="F7" s="16" t="s">
        <v>150</v>
      </c>
      <c r="G7" s="16" t="s">
        <v>103</v>
      </c>
    </row>
    <row r="8" spans="1:7" x14ac:dyDescent="0.25">
      <c r="A8" s="16">
        <v>2</v>
      </c>
      <c r="B8" s="16" t="s">
        <v>279</v>
      </c>
      <c r="C8" s="16" t="s">
        <v>103</v>
      </c>
      <c r="E8" s="16">
        <v>2</v>
      </c>
      <c r="F8" s="16" t="s">
        <v>150</v>
      </c>
      <c r="G8" s="16" t="s">
        <v>103</v>
      </c>
    </row>
    <row r="9" spans="1:7" x14ac:dyDescent="0.25">
      <c r="A9" s="16">
        <v>3</v>
      </c>
      <c r="B9" s="16" t="s">
        <v>278</v>
      </c>
      <c r="C9" s="16" t="s">
        <v>103</v>
      </c>
      <c r="E9" s="16">
        <v>3</v>
      </c>
      <c r="F9" s="16" t="s">
        <v>151</v>
      </c>
      <c r="G9" s="16" t="s">
        <v>103</v>
      </c>
    </row>
    <row r="10" spans="1:7" x14ac:dyDescent="0.25">
      <c r="A10" s="17">
        <v>4</v>
      </c>
      <c r="B10" s="17" t="s">
        <v>100</v>
      </c>
      <c r="C10" s="17" t="s">
        <v>101</v>
      </c>
      <c r="E10" s="17">
        <v>4</v>
      </c>
      <c r="F10" s="17" t="s">
        <v>100</v>
      </c>
      <c r="G10" s="17" t="s">
        <v>101</v>
      </c>
    </row>
    <row r="11" spans="1:7" x14ac:dyDescent="0.25">
      <c r="A11" s="68">
        <v>5</v>
      </c>
      <c r="B11" s="68" t="s">
        <v>284</v>
      </c>
      <c r="C11" s="68" t="s">
        <v>283</v>
      </c>
      <c r="E11" s="68">
        <v>5</v>
      </c>
      <c r="F11" s="68" t="s">
        <v>282</v>
      </c>
      <c r="G11" s="68" t="s">
        <v>283</v>
      </c>
    </row>
    <row r="12" spans="1:7" x14ac:dyDescent="0.25">
      <c r="A12">
        <v>6</v>
      </c>
      <c r="C12" s="16" t="s">
        <v>103</v>
      </c>
      <c r="E12">
        <v>6</v>
      </c>
      <c r="G12" s="16" t="s">
        <v>103</v>
      </c>
    </row>
    <row r="13" spans="1:7" x14ac:dyDescent="0.25">
      <c r="A13">
        <v>7</v>
      </c>
      <c r="C13" s="16" t="s">
        <v>103</v>
      </c>
      <c r="E13">
        <v>7</v>
      </c>
      <c r="G13" s="16" t="s">
        <v>103</v>
      </c>
    </row>
    <row r="14" spans="1:7" x14ac:dyDescent="0.25">
      <c r="A14">
        <v>8</v>
      </c>
      <c r="C14" s="16" t="s">
        <v>103</v>
      </c>
      <c r="E14">
        <v>8</v>
      </c>
      <c r="G14" s="16" t="s">
        <v>103</v>
      </c>
    </row>
    <row r="15" spans="1:7" x14ac:dyDescent="0.25">
      <c r="A15">
        <v>9</v>
      </c>
      <c r="E15">
        <v>9</v>
      </c>
    </row>
    <row r="16" spans="1:7" x14ac:dyDescent="0.25">
      <c r="A16">
        <v>10</v>
      </c>
      <c r="E16">
        <v>10</v>
      </c>
    </row>
    <row r="17" spans="1:5" x14ac:dyDescent="0.25">
      <c r="A17">
        <v>11</v>
      </c>
      <c r="E17">
        <v>11</v>
      </c>
    </row>
  </sheetData>
  <mergeCells count="2">
    <mergeCell ref="A4:C4"/>
    <mergeCell ref="E4:G4"/>
  </mergeCells>
  <hyperlinks>
    <hyperlink ref="B1" location="Contents!A1" display="Contents!A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1"/>
  <sheetViews>
    <sheetView topLeftCell="A16" workbookViewId="0">
      <selection activeCell="H35" sqref="H35:J42"/>
    </sheetView>
  </sheetViews>
  <sheetFormatPr defaultRowHeight="15" x14ac:dyDescent="0.25"/>
  <cols>
    <col min="4" max="4" width="26.140625" bestFit="1" customWidth="1"/>
    <col min="5" max="5" width="3.7109375" customWidth="1"/>
    <col min="6" max="6" width="13.140625" bestFit="1" customWidth="1"/>
    <col min="7" max="7" width="2.85546875" customWidth="1"/>
    <col min="10" max="10" width="36.28515625" customWidth="1"/>
  </cols>
  <sheetData>
    <row r="1" spans="2:10" ht="26.25" x14ac:dyDescent="0.4">
      <c r="B1" s="57" t="s">
        <v>181</v>
      </c>
    </row>
    <row r="3" spans="2:10" ht="23.25" x14ac:dyDescent="0.35">
      <c r="B3" s="196" t="s">
        <v>292</v>
      </c>
      <c r="C3" s="196"/>
      <c r="D3" s="196"/>
      <c r="H3" s="196" t="s">
        <v>293</v>
      </c>
      <c r="I3" s="196"/>
      <c r="J3" s="196"/>
    </row>
    <row r="4" spans="2:10" ht="15.75" thickBot="1" x14ac:dyDescent="0.3"/>
    <row r="5" spans="2:10" x14ac:dyDescent="0.25">
      <c r="B5" s="19" t="s">
        <v>105</v>
      </c>
      <c r="C5" s="20" t="s">
        <v>106</v>
      </c>
      <c r="D5" s="21" t="s">
        <v>100</v>
      </c>
    </row>
    <row r="6" spans="2:10" ht="45.75" thickBot="1" x14ac:dyDescent="0.3">
      <c r="B6" s="22">
        <v>4</v>
      </c>
      <c r="C6" s="18">
        <v>4</v>
      </c>
      <c r="D6" s="54" t="s">
        <v>147</v>
      </c>
      <c r="F6" s="70"/>
    </row>
    <row r="7" spans="2:10" ht="15.75" thickBot="1" x14ac:dyDescent="0.3">
      <c r="B7" s="24" t="s">
        <v>102</v>
      </c>
      <c r="C7" s="25" t="s">
        <v>102</v>
      </c>
      <c r="D7" s="26" t="s">
        <v>102</v>
      </c>
      <c r="H7" s="19" t="s">
        <v>105</v>
      </c>
      <c r="I7" s="20" t="s">
        <v>106</v>
      </c>
      <c r="J7" s="21" t="s">
        <v>100</v>
      </c>
    </row>
    <row r="8" spans="2:10" x14ac:dyDescent="0.25">
      <c r="H8" s="22">
        <v>4</v>
      </c>
      <c r="I8" s="18">
        <v>1</v>
      </c>
      <c r="J8" s="23" t="s">
        <v>107</v>
      </c>
    </row>
    <row r="9" spans="2:10" ht="15.75" thickBot="1" x14ac:dyDescent="0.3">
      <c r="H9" s="24" t="s">
        <v>102</v>
      </c>
      <c r="I9" s="25" t="s">
        <v>102</v>
      </c>
      <c r="J9" s="26" t="s">
        <v>102</v>
      </c>
    </row>
    <row r="10" spans="2:10" x14ac:dyDescent="0.25">
      <c r="D10" t="s">
        <v>294</v>
      </c>
    </row>
    <row r="12" spans="2:10" ht="15.75" thickBot="1" x14ac:dyDescent="0.3"/>
    <row r="13" spans="2:10" x14ac:dyDescent="0.25">
      <c r="B13" s="27" t="s">
        <v>105</v>
      </c>
      <c r="C13" s="28" t="s">
        <v>106</v>
      </c>
      <c r="D13" s="29"/>
    </row>
    <row r="14" spans="2:10" x14ac:dyDescent="0.25">
      <c r="B14" s="30">
        <v>4</v>
      </c>
      <c r="C14" s="31">
        <v>3</v>
      </c>
      <c r="D14" s="32" t="s">
        <v>119</v>
      </c>
      <c r="H14" t="s">
        <v>295</v>
      </c>
    </row>
    <row r="15" spans="2:10" x14ac:dyDescent="0.25">
      <c r="B15" s="30">
        <v>5</v>
      </c>
      <c r="C15" s="31" t="s">
        <v>101</v>
      </c>
      <c r="D15" s="37" t="s">
        <v>274</v>
      </c>
    </row>
    <row r="16" spans="2:10" ht="15.75" thickBot="1" x14ac:dyDescent="0.3">
      <c r="B16" s="34">
        <v>6</v>
      </c>
      <c r="C16" s="35" t="s">
        <v>101</v>
      </c>
      <c r="D16" s="69" t="s">
        <v>118</v>
      </c>
      <c r="J16" s="13"/>
    </row>
    <row r="17" spans="2:10" ht="15.75" thickBot="1" x14ac:dyDescent="0.3">
      <c r="J17" s="13"/>
    </row>
    <row r="18" spans="2:10" x14ac:dyDescent="0.25">
      <c r="H18" s="27" t="s">
        <v>105</v>
      </c>
      <c r="I18" s="28" t="s">
        <v>106</v>
      </c>
      <c r="J18" s="29"/>
    </row>
    <row r="19" spans="2:10" x14ac:dyDescent="0.25">
      <c r="H19" s="30">
        <v>4</v>
      </c>
      <c r="I19" s="31">
        <v>5</v>
      </c>
      <c r="J19" s="37" t="s">
        <v>275</v>
      </c>
    </row>
    <row r="20" spans="2:10" x14ac:dyDescent="0.25">
      <c r="H20" s="71" t="s">
        <v>289</v>
      </c>
      <c r="I20" s="10" t="s">
        <v>285</v>
      </c>
      <c r="J20" s="37" t="s">
        <v>286</v>
      </c>
    </row>
    <row r="21" spans="2:10" x14ac:dyDescent="0.25">
      <c r="H21" s="30"/>
      <c r="I21" s="10" t="s">
        <v>287</v>
      </c>
      <c r="J21" s="37" t="s">
        <v>288</v>
      </c>
    </row>
    <row r="22" spans="2:10" ht="42.75" customHeight="1" thickBot="1" x14ac:dyDescent="0.3">
      <c r="H22" s="197" t="s">
        <v>307</v>
      </c>
      <c r="I22" s="198"/>
      <c r="J22" s="199"/>
    </row>
    <row r="23" spans="2:10" ht="15.75" thickBot="1" x14ac:dyDescent="0.3">
      <c r="B23" s="27" t="s">
        <v>105</v>
      </c>
      <c r="C23" s="28" t="s">
        <v>106</v>
      </c>
      <c r="D23" s="29"/>
      <c r="H23" s="200"/>
      <c r="I23" s="201"/>
      <c r="J23" s="202"/>
    </row>
    <row r="24" spans="2:10" x14ac:dyDescent="0.25">
      <c r="B24" s="30">
        <v>4</v>
      </c>
      <c r="C24" s="31">
        <v>5</v>
      </c>
      <c r="D24" s="32" t="s">
        <v>290</v>
      </c>
    </row>
    <row r="25" spans="2:10" x14ac:dyDescent="0.25">
      <c r="B25" s="30">
        <v>5</v>
      </c>
      <c r="C25" s="31" t="s">
        <v>101</v>
      </c>
      <c r="D25" s="37" t="s">
        <v>274</v>
      </c>
    </row>
    <row r="26" spans="2:10" ht="30.75" thickBot="1" x14ac:dyDescent="0.3">
      <c r="B26" s="72" t="s">
        <v>148</v>
      </c>
      <c r="C26" s="35" t="s">
        <v>99</v>
      </c>
      <c r="D26" s="73" t="s">
        <v>291</v>
      </c>
    </row>
    <row r="27" spans="2:10" x14ac:dyDescent="0.25">
      <c r="H27" t="s">
        <v>296</v>
      </c>
    </row>
    <row r="30" spans="2:10" ht="15.75" thickBot="1" x14ac:dyDescent="0.3"/>
    <row r="31" spans="2:10" x14ac:dyDescent="0.25">
      <c r="H31" s="19" t="s">
        <v>105</v>
      </c>
      <c r="I31" s="20" t="s">
        <v>106</v>
      </c>
      <c r="J31" s="21" t="s">
        <v>100</v>
      </c>
    </row>
    <row r="32" spans="2:10" x14ac:dyDescent="0.25">
      <c r="D32" t="s">
        <v>337</v>
      </c>
      <c r="H32" s="22">
        <v>4</v>
      </c>
      <c r="I32" s="18">
        <v>2</v>
      </c>
      <c r="J32" s="23" t="s">
        <v>299</v>
      </c>
    </row>
    <row r="33" spans="4:10" ht="15.75" thickBot="1" x14ac:dyDescent="0.3">
      <c r="H33" s="24" t="s">
        <v>102</v>
      </c>
      <c r="I33" s="25" t="s">
        <v>102</v>
      </c>
      <c r="J33" s="26" t="s">
        <v>102</v>
      </c>
    </row>
    <row r="34" spans="4:10" ht="15.75" thickBot="1" x14ac:dyDescent="0.3"/>
    <row r="35" spans="4:10" x14ac:dyDescent="0.25">
      <c r="H35" s="19" t="s">
        <v>105</v>
      </c>
      <c r="I35" s="20" t="s">
        <v>106</v>
      </c>
      <c r="J35" s="21" t="s">
        <v>100</v>
      </c>
    </row>
    <row r="36" spans="4:10" x14ac:dyDescent="0.25">
      <c r="D36" t="s">
        <v>370</v>
      </c>
      <c r="H36" s="22">
        <v>4</v>
      </c>
      <c r="I36" s="18">
        <v>3</v>
      </c>
      <c r="J36" s="23" t="s">
        <v>372</v>
      </c>
    </row>
    <row r="37" spans="4:10" x14ac:dyDescent="0.25">
      <c r="H37" s="22">
        <v>5</v>
      </c>
      <c r="I37" s="18" t="s">
        <v>283</v>
      </c>
      <c r="J37" s="74" t="s">
        <v>438</v>
      </c>
    </row>
    <row r="38" spans="4:10" x14ac:dyDescent="0.25">
      <c r="H38" s="22">
        <v>6</v>
      </c>
      <c r="I38" s="18" t="s">
        <v>283</v>
      </c>
      <c r="J38" s="127" t="s">
        <v>535</v>
      </c>
    </row>
    <row r="39" spans="4:10" x14ac:dyDescent="0.25">
      <c r="H39" s="22">
        <v>7</v>
      </c>
      <c r="I39" s="18" t="s">
        <v>283</v>
      </c>
      <c r="J39" s="23" t="s">
        <v>631</v>
      </c>
    </row>
    <row r="40" spans="4:10" x14ac:dyDescent="0.25">
      <c r="H40" s="22">
        <v>8</v>
      </c>
      <c r="I40" s="18" t="s">
        <v>283</v>
      </c>
      <c r="J40" s="23" t="s">
        <v>632</v>
      </c>
    </row>
    <row r="41" spans="4:10" x14ac:dyDescent="0.25">
      <c r="H41" s="22">
        <v>9</v>
      </c>
      <c r="I41" s="18" t="s">
        <v>283</v>
      </c>
      <c r="J41" s="23" t="s">
        <v>633</v>
      </c>
    </row>
    <row r="42" spans="4:10" ht="15.75" thickBot="1" x14ac:dyDescent="0.3">
      <c r="H42" s="24" t="s">
        <v>102</v>
      </c>
      <c r="I42" s="25" t="s">
        <v>102</v>
      </c>
      <c r="J42" s="26" t="s">
        <v>102</v>
      </c>
    </row>
    <row r="43" spans="4:10" ht="15.75" thickBot="1" x14ac:dyDescent="0.3"/>
    <row r="44" spans="4:10" x14ac:dyDescent="0.25">
      <c r="H44" s="19" t="s">
        <v>105</v>
      </c>
      <c r="I44" s="20" t="s">
        <v>106</v>
      </c>
      <c r="J44" s="21" t="s">
        <v>100</v>
      </c>
    </row>
    <row r="45" spans="4:10" x14ac:dyDescent="0.25">
      <c r="D45" t="s">
        <v>371</v>
      </c>
      <c r="H45" s="22">
        <v>4</v>
      </c>
      <c r="I45" s="18">
        <v>4</v>
      </c>
      <c r="J45" s="23" t="s">
        <v>373</v>
      </c>
    </row>
    <row r="46" spans="4:10" ht="15.75" thickBot="1" x14ac:dyDescent="0.3">
      <c r="H46" s="24" t="s">
        <v>102</v>
      </c>
      <c r="I46" s="25" t="s">
        <v>102</v>
      </c>
      <c r="J46" s="26" t="s">
        <v>102</v>
      </c>
    </row>
    <row r="56" spans="2:12" ht="15.75" thickBot="1" x14ac:dyDescent="0.3"/>
    <row r="57" spans="2:12" x14ac:dyDescent="0.25">
      <c r="B57" s="77" t="s">
        <v>105</v>
      </c>
      <c r="C57" s="78" t="s">
        <v>106</v>
      </c>
      <c r="D57" s="79"/>
    </row>
    <row r="58" spans="2:12" x14ac:dyDescent="0.25">
      <c r="B58" s="80">
        <v>4</v>
      </c>
      <c r="C58" s="81">
        <v>2</v>
      </c>
      <c r="D58" s="67" t="s">
        <v>104</v>
      </c>
    </row>
    <row r="59" spans="2:12" x14ac:dyDescent="0.25">
      <c r="B59" s="80">
        <v>5</v>
      </c>
      <c r="C59" s="81" t="s">
        <v>101</v>
      </c>
      <c r="D59" s="83" t="s">
        <v>274</v>
      </c>
      <c r="K59" t="s">
        <v>345</v>
      </c>
      <c r="L59">
        <v>6</v>
      </c>
    </row>
    <row r="60" spans="2:12" x14ac:dyDescent="0.25">
      <c r="B60" s="80">
        <v>6</v>
      </c>
      <c r="C60" s="81" t="s">
        <v>101</v>
      </c>
      <c r="D60" s="82" t="s">
        <v>377</v>
      </c>
      <c r="K60" t="s">
        <v>346</v>
      </c>
    </row>
    <row r="61" spans="2:12" x14ac:dyDescent="0.25">
      <c r="B61" s="80" t="s">
        <v>338</v>
      </c>
      <c r="C61" s="81" t="s">
        <v>99</v>
      </c>
      <c r="D61" s="82" t="s">
        <v>344</v>
      </c>
      <c r="K61" t="s">
        <v>347</v>
      </c>
    </row>
    <row r="62" spans="2:12" x14ac:dyDescent="0.25">
      <c r="B62" s="80">
        <v>9</v>
      </c>
      <c r="C62" s="81" t="s">
        <v>101</v>
      </c>
      <c r="D62" s="82" t="s">
        <v>374</v>
      </c>
    </row>
    <row r="63" spans="2:12" x14ac:dyDescent="0.25">
      <c r="B63" s="80" t="s">
        <v>339</v>
      </c>
      <c r="C63" s="81" t="s">
        <v>99</v>
      </c>
      <c r="D63" s="82" t="s">
        <v>342</v>
      </c>
    </row>
    <row r="64" spans="2:12" x14ac:dyDescent="0.25">
      <c r="B64" s="80">
        <v>12</v>
      </c>
      <c r="C64" s="81" t="s">
        <v>101</v>
      </c>
      <c r="D64" s="82" t="s">
        <v>352</v>
      </c>
    </row>
    <row r="65" spans="2:10" x14ac:dyDescent="0.25">
      <c r="B65" s="80" t="s">
        <v>348</v>
      </c>
      <c r="C65" s="81" t="s">
        <v>99</v>
      </c>
      <c r="D65" s="82" t="s">
        <v>353</v>
      </c>
    </row>
    <row r="66" spans="2:10" x14ac:dyDescent="0.25">
      <c r="B66" s="80">
        <v>15</v>
      </c>
      <c r="C66" s="81" t="s">
        <v>101</v>
      </c>
      <c r="D66" s="82" t="s">
        <v>354</v>
      </c>
    </row>
    <row r="67" spans="2:10" ht="15.75" thickBot="1" x14ac:dyDescent="0.3">
      <c r="B67" s="80" t="s">
        <v>349</v>
      </c>
      <c r="C67" s="81" t="s">
        <v>99</v>
      </c>
      <c r="D67" s="82" t="s">
        <v>355</v>
      </c>
    </row>
    <row r="68" spans="2:10" x14ac:dyDescent="0.25">
      <c r="B68" s="80">
        <v>18</v>
      </c>
      <c r="C68" s="81" t="s">
        <v>101</v>
      </c>
      <c r="D68" s="82" t="s">
        <v>356</v>
      </c>
      <c r="H68" s="27" t="s">
        <v>105</v>
      </c>
      <c r="I68" s="28" t="s">
        <v>106</v>
      </c>
      <c r="J68" s="29"/>
    </row>
    <row r="69" spans="2:10" x14ac:dyDescent="0.25">
      <c r="B69" s="80" t="s">
        <v>350</v>
      </c>
      <c r="C69" s="81" t="s">
        <v>99</v>
      </c>
      <c r="D69" s="82" t="s">
        <v>357</v>
      </c>
      <c r="H69" s="30"/>
      <c r="I69" s="31"/>
      <c r="J69" s="32"/>
    </row>
    <row r="70" spans="2:10" x14ac:dyDescent="0.25">
      <c r="B70" s="80">
        <v>21</v>
      </c>
      <c r="C70" s="81" t="s">
        <v>101</v>
      </c>
      <c r="D70" s="82" t="s">
        <v>358</v>
      </c>
      <c r="H70" s="30"/>
      <c r="I70" s="31">
        <v>6</v>
      </c>
      <c r="J70" s="32" t="s">
        <v>120</v>
      </c>
    </row>
    <row r="71" spans="2:10" x14ac:dyDescent="0.25">
      <c r="B71" s="80" t="s">
        <v>351</v>
      </c>
      <c r="C71" s="81" t="s">
        <v>99</v>
      </c>
      <c r="D71" s="82" t="s">
        <v>359</v>
      </c>
      <c r="H71" s="30"/>
      <c r="I71" s="31" t="s">
        <v>101</v>
      </c>
      <c r="J71" s="32" t="s">
        <v>125</v>
      </c>
    </row>
    <row r="72" spans="2:10" x14ac:dyDescent="0.25">
      <c r="B72" s="80" t="s">
        <v>129</v>
      </c>
      <c r="C72" s="81" t="s">
        <v>129</v>
      </c>
      <c r="D72" s="82" t="s">
        <v>129</v>
      </c>
      <c r="H72" s="30"/>
      <c r="I72" s="31" t="s">
        <v>108</v>
      </c>
      <c r="J72" s="32" t="s">
        <v>121</v>
      </c>
    </row>
    <row r="73" spans="2:10" x14ac:dyDescent="0.25">
      <c r="B73" s="80">
        <v>39</v>
      </c>
      <c r="C73" s="81" t="s">
        <v>101</v>
      </c>
      <c r="D73" s="82" t="s">
        <v>340</v>
      </c>
      <c r="H73" s="30"/>
      <c r="I73" s="31" t="s">
        <v>101</v>
      </c>
      <c r="J73" s="32" t="s">
        <v>126</v>
      </c>
    </row>
    <row r="74" spans="2:10" x14ac:dyDescent="0.25">
      <c r="B74" s="80" t="s">
        <v>343</v>
      </c>
      <c r="C74" s="81" t="s">
        <v>99</v>
      </c>
      <c r="D74" s="82" t="s">
        <v>341</v>
      </c>
      <c r="H74" s="30"/>
      <c r="I74" s="10" t="s">
        <v>132</v>
      </c>
      <c r="J74" s="37" t="s">
        <v>122</v>
      </c>
    </row>
    <row r="75" spans="2:10" x14ac:dyDescent="0.25">
      <c r="B75" s="80">
        <v>42</v>
      </c>
      <c r="C75" s="81" t="s">
        <v>101</v>
      </c>
      <c r="D75" s="83" t="s">
        <v>376</v>
      </c>
      <c r="H75" s="30"/>
      <c r="I75" s="31" t="s">
        <v>133</v>
      </c>
      <c r="J75" s="37" t="s">
        <v>123</v>
      </c>
    </row>
    <row r="76" spans="2:10" x14ac:dyDescent="0.25">
      <c r="B76" s="80" t="s">
        <v>380</v>
      </c>
      <c r="C76" s="81" t="s">
        <v>99</v>
      </c>
      <c r="D76" s="83" t="s">
        <v>379</v>
      </c>
      <c r="H76" s="30"/>
      <c r="I76" s="31" t="s">
        <v>101</v>
      </c>
      <c r="J76" s="32" t="s">
        <v>127</v>
      </c>
    </row>
    <row r="77" spans="2:10" x14ac:dyDescent="0.25">
      <c r="B77" s="80" t="s">
        <v>129</v>
      </c>
      <c r="C77" s="81" t="s">
        <v>129</v>
      </c>
      <c r="D77" s="83" t="s">
        <v>129</v>
      </c>
      <c r="H77" s="30"/>
      <c r="I77" s="31" t="s">
        <v>101</v>
      </c>
      <c r="J77" s="32" t="s">
        <v>128</v>
      </c>
    </row>
    <row r="78" spans="2:10" ht="15.75" thickBot="1" x14ac:dyDescent="0.3">
      <c r="B78" s="84" t="s">
        <v>378</v>
      </c>
      <c r="C78" s="85"/>
      <c r="D78" s="88" t="s">
        <v>375</v>
      </c>
      <c r="H78" s="30" t="s">
        <v>129</v>
      </c>
      <c r="I78" s="31" t="s">
        <v>129</v>
      </c>
      <c r="J78" s="37" t="s">
        <v>129</v>
      </c>
    </row>
    <row r="79" spans="2:10" x14ac:dyDescent="0.25">
      <c r="H79" s="30"/>
      <c r="I79" s="31" t="s">
        <v>101</v>
      </c>
      <c r="J79" s="32" t="s">
        <v>130</v>
      </c>
    </row>
    <row r="80" spans="2:10" ht="15.75" thickBot="1" x14ac:dyDescent="0.3">
      <c r="H80" s="34"/>
      <c r="I80" s="35" t="s">
        <v>101</v>
      </c>
      <c r="J80" s="36" t="s">
        <v>131</v>
      </c>
    </row>
    <row r="83" spans="2:5" ht="15.75" thickBot="1" x14ac:dyDescent="0.3"/>
    <row r="84" spans="2:5" x14ac:dyDescent="0.25">
      <c r="B84" s="27" t="s">
        <v>105</v>
      </c>
      <c r="C84" s="28" t="s">
        <v>106</v>
      </c>
      <c r="D84" s="29"/>
    </row>
    <row r="85" spans="2:5" x14ac:dyDescent="0.25">
      <c r="B85" s="30">
        <v>4</v>
      </c>
      <c r="C85" s="31">
        <v>5</v>
      </c>
      <c r="D85" s="37" t="s">
        <v>275</v>
      </c>
      <c r="E85" t="s">
        <v>320</v>
      </c>
    </row>
    <row r="86" spans="2:5" x14ac:dyDescent="0.25">
      <c r="B86" s="33"/>
      <c r="C86" s="31"/>
      <c r="D86" s="32" t="s">
        <v>112</v>
      </c>
    </row>
    <row r="87" spans="2:5" x14ac:dyDescent="0.25">
      <c r="B87" s="30"/>
      <c r="C87" s="31"/>
      <c r="D87" s="32" t="s">
        <v>113</v>
      </c>
    </row>
    <row r="88" spans="2:5" x14ac:dyDescent="0.25">
      <c r="B88" s="30"/>
      <c r="C88" s="31"/>
      <c r="D88" s="32" t="s">
        <v>114</v>
      </c>
    </row>
    <row r="89" spans="2:5" x14ac:dyDescent="0.25">
      <c r="B89" s="30"/>
      <c r="C89" s="31"/>
      <c r="D89" s="32" t="s">
        <v>115</v>
      </c>
    </row>
    <row r="90" spans="2:5" x14ac:dyDescent="0.25">
      <c r="B90" s="30"/>
      <c r="C90" s="31"/>
      <c r="D90" s="37" t="s">
        <v>117</v>
      </c>
    </row>
    <row r="91" spans="2:5" x14ac:dyDescent="0.25">
      <c r="B91" s="38"/>
      <c r="C91" s="31"/>
      <c r="D91" s="32" t="s">
        <v>116</v>
      </c>
    </row>
    <row r="92" spans="2:5" x14ac:dyDescent="0.25">
      <c r="B92" s="30"/>
      <c r="C92" s="31"/>
      <c r="D92" s="37" t="s">
        <v>124</v>
      </c>
    </row>
    <row r="93" spans="2:5" x14ac:dyDescent="0.25">
      <c r="B93" s="30"/>
      <c r="C93" s="31"/>
      <c r="D93" s="37" t="s">
        <v>134</v>
      </c>
    </row>
    <row r="94" spans="2:5" x14ac:dyDescent="0.25">
      <c r="B94" s="30"/>
      <c r="C94" s="31"/>
      <c r="D94" s="37" t="s">
        <v>275</v>
      </c>
    </row>
    <row r="95" spans="2:5" x14ac:dyDescent="0.25">
      <c r="B95" s="30"/>
      <c r="C95" s="31"/>
      <c r="D95" s="37" t="s">
        <v>276</v>
      </c>
    </row>
    <row r="96" spans="2:5" x14ac:dyDescent="0.25">
      <c r="B96" s="30"/>
      <c r="C96" s="31"/>
      <c r="D96" s="32"/>
    </row>
    <row r="97" spans="2:4" x14ac:dyDescent="0.25">
      <c r="B97" s="30"/>
      <c r="C97" s="31"/>
      <c r="D97" s="32"/>
    </row>
    <row r="98" spans="2:4" x14ac:dyDescent="0.25">
      <c r="B98" s="30"/>
      <c r="C98" s="31"/>
      <c r="D98" s="32"/>
    </row>
    <row r="99" spans="2:4" x14ac:dyDescent="0.25">
      <c r="B99" s="30"/>
      <c r="C99" s="31"/>
      <c r="D99" s="32"/>
    </row>
    <row r="100" spans="2:4" x14ac:dyDescent="0.25">
      <c r="B100" s="30"/>
      <c r="C100" s="31"/>
      <c r="D100" s="32"/>
    </row>
    <row r="101" spans="2:4" ht="15.75" thickBot="1" x14ac:dyDescent="0.3">
      <c r="B101" s="34"/>
      <c r="C101" s="35"/>
      <c r="D101" s="36"/>
    </row>
  </sheetData>
  <mergeCells count="3">
    <mergeCell ref="B3:D3"/>
    <mergeCell ref="H3:J3"/>
    <mergeCell ref="H22:J23"/>
  </mergeCells>
  <hyperlinks>
    <hyperlink ref="D16" location="'Error Codes'!A1" display="ERROR CODE"/>
    <hyperlink ref="B1" location="Contents!A1" display="Contents!A1"/>
    <hyperlink ref="D58" location="Meas_sample!A1" display="MEASUREMENT SAMPLE"/>
    <hyperlink ref="J38" location="'Sensor configuration set'!A1" display="Sensor configuration set"/>
  </hyperlink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9"/>
  <sheetViews>
    <sheetView workbookViewId="0">
      <selection activeCell="I8" sqref="I8"/>
    </sheetView>
  </sheetViews>
  <sheetFormatPr defaultRowHeight="15" x14ac:dyDescent="0.25"/>
  <cols>
    <col min="2" max="2" width="20.140625" customWidth="1"/>
    <col min="7" max="7" width="18.7109375" customWidth="1"/>
    <col min="8" max="8" width="15.42578125" customWidth="1"/>
  </cols>
  <sheetData>
    <row r="1" spans="2:16" ht="26.25" x14ac:dyDescent="0.4">
      <c r="B1" s="57" t="s">
        <v>181</v>
      </c>
    </row>
    <row r="3" spans="2:16" ht="21.75" thickBot="1" x14ac:dyDescent="0.4">
      <c r="B3" s="90" t="s">
        <v>382</v>
      </c>
    </row>
    <row r="4" spans="2:16" ht="15.75" thickBot="1" x14ac:dyDescent="0.3">
      <c r="B4" s="86" t="s">
        <v>383</v>
      </c>
      <c r="I4" s="203" t="s">
        <v>394</v>
      </c>
      <c r="J4" s="204"/>
      <c r="K4" s="205"/>
    </row>
    <row r="5" spans="2:16" ht="15.75" thickBot="1" x14ac:dyDescent="0.3"/>
    <row r="6" spans="2:16" x14ac:dyDescent="0.25">
      <c r="B6" t="s">
        <v>105</v>
      </c>
      <c r="C6" s="27">
        <v>0</v>
      </c>
      <c r="D6" s="28">
        <v>1</v>
      </c>
      <c r="E6" s="28">
        <v>2</v>
      </c>
      <c r="F6" s="29">
        <v>3</v>
      </c>
      <c r="G6" s="92">
        <v>4</v>
      </c>
      <c r="H6" s="95">
        <v>5</v>
      </c>
      <c r="I6" s="92">
        <v>6</v>
      </c>
      <c r="J6" s="27">
        <v>7</v>
      </c>
      <c r="K6" s="29">
        <v>8</v>
      </c>
      <c r="L6" s="92">
        <v>9</v>
      </c>
      <c r="M6" s="27">
        <v>10</v>
      </c>
      <c r="N6" s="29">
        <v>11</v>
      </c>
      <c r="O6" s="91" t="s">
        <v>129</v>
      </c>
      <c r="P6" s="92" t="s">
        <v>108</v>
      </c>
    </row>
    <row r="7" spans="2:16" ht="15.75" thickBot="1" x14ac:dyDescent="0.3">
      <c r="B7" t="s">
        <v>385</v>
      </c>
      <c r="C7" s="34">
        <v>0</v>
      </c>
      <c r="D7" s="35">
        <v>0</v>
      </c>
      <c r="E7" s="35">
        <v>0</v>
      </c>
      <c r="F7" s="36">
        <v>5</v>
      </c>
      <c r="G7" s="93">
        <v>2</v>
      </c>
      <c r="H7" s="96">
        <v>13</v>
      </c>
      <c r="I7" s="93">
        <v>0</v>
      </c>
      <c r="J7" s="34" t="s">
        <v>395</v>
      </c>
      <c r="K7" s="36" t="s">
        <v>396</v>
      </c>
      <c r="L7" s="93">
        <v>0</v>
      </c>
      <c r="M7" s="34" t="s">
        <v>395</v>
      </c>
      <c r="N7" s="36" t="s">
        <v>399</v>
      </c>
      <c r="O7" s="91" t="s">
        <v>129</v>
      </c>
      <c r="P7" s="93" t="s">
        <v>132</v>
      </c>
    </row>
    <row r="8" spans="2:16" s="75" customFormat="1" ht="45.75" thickBot="1" x14ac:dyDescent="0.3">
      <c r="B8" s="75" t="s">
        <v>384</v>
      </c>
      <c r="C8" s="208" t="s">
        <v>387</v>
      </c>
      <c r="D8" s="210"/>
      <c r="E8" s="210"/>
      <c r="F8" s="209"/>
      <c r="G8" s="94" t="s">
        <v>388</v>
      </c>
      <c r="H8" s="97" t="s">
        <v>391</v>
      </c>
      <c r="I8" s="100" t="s">
        <v>403</v>
      </c>
      <c r="J8" s="206" t="s">
        <v>397</v>
      </c>
      <c r="K8" s="207"/>
      <c r="L8" s="94" t="s">
        <v>389</v>
      </c>
      <c r="M8" s="206" t="s">
        <v>397</v>
      </c>
      <c r="N8" s="207"/>
      <c r="O8" s="91" t="s">
        <v>129</v>
      </c>
      <c r="P8" s="98" t="s">
        <v>400</v>
      </c>
    </row>
    <row r="9" spans="2:16" s="75" customFormat="1" ht="45.75" thickBot="1" x14ac:dyDescent="0.3">
      <c r="B9" s="75" t="s">
        <v>386</v>
      </c>
      <c r="C9" s="208" t="s">
        <v>387</v>
      </c>
      <c r="D9" s="210"/>
      <c r="E9" s="210"/>
      <c r="F9" s="209"/>
      <c r="G9" s="94" t="s">
        <v>393</v>
      </c>
      <c r="H9" s="94" t="s">
        <v>392</v>
      </c>
      <c r="I9" s="94" t="s">
        <v>390</v>
      </c>
      <c r="J9" s="208" t="s">
        <v>565</v>
      </c>
      <c r="K9" s="209"/>
      <c r="L9" s="94" t="s">
        <v>398</v>
      </c>
      <c r="M9" s="208" t="s">
        <v>566</v>
      </c>
      <c r="N9" s="209"/>
      <c r="O9" s="91" t="s">
        <v>129</v>
      </c>
      <c r="P9" s="99" t="s">
        <v>401</v>
      </c>
    </row>
  </sheetData>
  <mergeCells count="7">
    <mergeCell ref="I4:K4"/>
    <mergeCell ref="M8:N8"/>
    <mergeCell ref="M9:N9"/>
    <mergeCell ref="C8:F8"/>
    <mergeCell ref="C9:F9"/>
    <mergeCell ref="J8:K8"/>
    <mergeCell ref="J9:K9"/>
  </mergeCells>
  <hyperlinks>
    <hyperlink ref="B1" location="Contents!A1" display="Contents!A1"/>
    <hyperlink ref="I8" location="'Sensor Type table'!B12" display="see table sensor type. 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Hárky</vt:lpstr>
      </vt:variant>
      <vt:variant>
        <vt:i4>22</vt:i4>
      </vt:variant>
      <vt:variant>
        <vt:lpstr>Pomenované rozsahy</vt:lpstr>
      </vt:variant>
      <vt:variant>
        <vt:i4>1</vt:i4>
      </vt:variant>
    </vt:vector>
  </HeadingPairs>
  <TitlesOfParts>
    <vt:vector size="23" baseType="lpstr">
      <vt:lpstr>Contents</vt:lpstr>
      <vt:lpstr>SPI ETH ESP32</vt:lpstr>
      <vt:lpstr>Pinout ETH DEEK</vt:lpstr>
      <vt:lpstr>JTAG conn</vt:lpstr>
      <vt:lpstr>SD usage</vt:lpstr>
      <vt:lpstr>UDP packets</vt:lpstr>
      <vt:lpstr>UDP datagram definition</vt:lpstr>
      <vt:lpstr>Message Types</vt:lpstr>
      <vt:lpstr>Meas_sample</vt:lpstr>
      <vt:lpstr>Sensor Type table</vt:lpstr>
      <vt:lpstr>ADC autorange</vt:lpstr>
      <vt:lpstr>Sensor configuration set</vt:lpstr>
      <vt:lpstr>El-chem debugging</vt:lpstr>
      <vt:lpstr>LabVIEW data log</vt:lpstr>
      <vt:lpstr>Error Codes</vt:lpstr>
      <vt:lpstr>LW Error Codes</vt:lpstr>
      <vt:lpstr>Time budget</vt:lpstr>
      <vt:lpstr>TO DO</vt:lpstr>
      <vt:lpstr>System setup</vt:lpstr>
      <vt:lpstr>Sensors Example datasheet val.</vt:lpstr>
      <vt:lpstr>IssueTracking</vt:lpstr>
      <vt:lpstr>Button and LED UI table</vt:lpstr>
      <vt:lpstr>'Error Codes'!error_codes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Yourigh</dc:creator>
  <cp:lastModifiedBy>Yourigh</cp:lastModifiedBy>
  <dcterms:created xsi:type="dcterms:W3CDTF">2019-05-08T16:21:32Z</dcterms:created>
  <dcterms:modified xsi:type="dcterms:W3CDTF">2019-08-28T01:17:24Z</dcterms:modified>
</cp:coreProperties>
</file>