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Desktop\ESCI305\"/>
    </mc:Choice>
  </mc:AlternateContent>
  <bookViews>
    <workbookView xWindow="0" yWindow="0" windowWidth="38400" windowHeight="17700" activeTab="4"/>
  </bookViews>
  <sheets>
    <sheet name="Accumulated" sheetId="2" r:id="rId1"/>
    <sheet name="Adjusting" sheetId="1" r:id="rId2"/>
    <sheet name="Anomalies" sheetId="3" r:id="rId3"/>
    <sheet name="Uncertainty" sheetId="5" r:id="rId4"/>
    <sheet name="Terrain Correction" sheetId="4" r:id="rId5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3" l="1"/>
  <c r="T12" i="3"/>
  <c r="R16" i="3"/>
  <c r="AN4" i="3"/>
  <c r="AN5" i="3"/>
  <c r="AN6" i="3"/>
  <c r="AN7" i="3"/>
  <c r="AN10" i="3"/>
  <c r="AN11" i="3"/>
  <c r="AN12" i="3"/>
  <c r="AN13" i="3"/>
  <c r="AN14" i="3"/>
  <c r="AN15" i="3"/>
  <c r="AN16" i="3"/>
  <c r="AN2" i="3"/>
  <c r="S3" i="3"/>
  <c r="S4" i="3"/>
  <c r="S5" i="3"/>
  <c r="S6" i="3"/>
  <c r="S7" i="3"/>
  <c r="S8" i="3"/>
  <c r="S2" i="3"/>
  <c r="R2" i="3"/>
  <c r="R3" i="3"/>
  <c r="R4" i="3"/>
  <c r="R5" i="3"/>
  <c r="R6" i="3"/>
  <c r="R7" i="3"/>
  <c r="R8" i="3"/>
  <c r="K10" i="3"/>
  <c r="S11" i="3"/>
  <c r="S12" i="3"/>
  <c r="S13" i="3"/>
  <c r="S14" i="3"/>
  <c r="S15" i="3"/>
  <c r="S16" i="3"/>
  <c r="S17" i="3"/>
  <c r="S10" i="3"/>
  <c r="R10" i="3"/>
  <c r="R11" i="3"/>
  <c r="R12" i="3"/>
  <c r="R13" i="3"/>
  <c r="R14" i="3"/>
  <c r="R15" i="3"/>
  <c r="R17" i="3"/>
  <c r="O22" i="3" l="1"/>
  <c r="T13" i="3"/>
  <c r="T10" i="3"/>
  <c r="AD11" i="3"/>
  <c r="AA2" i="3"/>
  <c r="AA3" i="3"/>
  <c r="AA4" i="3"/>
  <c r="AA5" i="3"/>
  <c r="AA6" i="3"/>
  <c r="AA7" i="3"/>
  <c r="AA8" i="3"/>
  <c r="L3" i="4"/>
  <c r="L4" i="4"/>
  <c r="L5" i="4"/>
  <c r="L6" i="4"/>
  <c r="L7" i="4"/>
  <c r="L8" i="4"/>
  <c r="L10" i="4"/>
  <c r="L11" i="4"/>
  <c r="L12" i="4"/>
  <c r="L13" i="4"/>
  <c r="L14" i="4"/>
  <c r="L15" i="4"/>
  <c r="L16" i="4"/>
  <c r="L2" i="4"/>
  <c r="AA10" i="3" l="1"/>
  <c r="O20" i="3"/>
  <c r="O21" i="3"/>
  <c r="O19" i="3"/>
  <c r="AB16" i="3"/>
  <c r="AB3" i="3"/>
  <c r="AB4" i="3"/>
  <c r="AB5" i="3"/>
  <c r="AB6" i="3"/>
  <c r="AB7" i="3"/>
  <c r="AB8" i="3"/>
  <c r="Z3" i="3"/>
  <c r="Z4" i="3"/>
  <c r="Z5" i="3"/>
  <c r="Z6" i="3"/>
  <c r="Z7" i="3"/>
  <c r="Z8" i="3"/>
  <c r="L10" i="1"/>
  <c r="L11" i="1"/>
  <c r="L12" i="1"/>
  <c r="L13" i="1"/>
  <c r="L14" i="1"/>
  <c r="L15" i="1"/>
  <c r="L16" i="1"/>
  <c r="AD6" i="3" l="1"/>
  <c r="AD8" i="3"/>
  <c r="AD4" i="3"/>
  <c r="AD5" i="3"/>
  <c r="AD7" i="3"/>
  <c r="AD3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F5" i="5"/>
  <c r="F2" i="5"/>
  <c r="F3" i="5"/>
  <c r="F4" i="5"/>
  <c r="F6" i="5"/>
  <c r="F7" i="5"/>
  <c r="F9" i="5"/>
  <c r="F10" i="5"/>
  <c r="F11" i="5"/>
  <c r="F12" i="5"/>
  <c r="F13" i="5"/>
  <c r="F14" i="5"/>
  <c r="F15" i="5"/>
  <c r="G19" i="5"/>
  <c r="E10" i="5"/>
  <c r="E11" i="5"/>
  <c r="E12" i="5"/>
  <c r="E13" i="5"/>
  <c r="E14" i="5"/>
  <c r="E15" i="5"/>
  <c r="E9" i="5"/>
  <c r="E7" i="5"/>
  <c r="D7" i="5"/>
  <c r="D10" i="5"/>
  <c r="D11" i="5"/>
  <c r="D12" i="5"/>
  <c r="D13" i="5"/>
  <c r="D14" i="5"/>
  <c r="D15" i="5"/>
  <c r="D9" i="5"/>
  <c r="AA11" i="3"/>
  <c r="AA12" i="3"/>
  <c r="AA13" i="3"/>
  <c r="AA14" i="3"/>
  <c r="AA15" i="3"/>
  <c r="AA16" i="3"/>
  <c r="AA17" i="3"/>
  <c r="E4" i="5"/>
  <c r="E3" i="5"/>
  <c r="E5" i="5"/>
  <c r="E6" i="5"/>
  <c r="E2" i="5"/>
  <c r="D3" i="5"/>
  <c r="D4" i="5"/>
  <c r="D5" i="5"/>
  <c r="D6" i="5"/>
  <c r="D2" i="5"/>
  <c r="G13" i="5"/>
  <c r="G14" i="5" l="1"/>
  <c r="G10" i="5"/>
  <c r="G11" i="5"/>
  <c r="G15" i="5"/>
  <c r="G12" i="5"/>
  <c r="G6" i="5" l="1"/>
  <c r="G5" i="5"/>
  <c r="G7" i="5"/>
  <c r="G9" i="5"/>
  <c r="G4" i="5"/>
  <c r="G3" i="5"/>
  <c r="AF39" i="3" l="1"/>
  <c r="AB11" i="3"/>
  <c r="AB12" i="3"/>
  <c r="AB13" i="3"/>
  <c r="AB14" i="3"/>
  <c r="AB15" i="3"/>
  <c r="AB17" i="3"/>
  <c r="AB10" i="3"/>
  <c r="Z11" i="3"/>
  <c r="Z12" i="3"/>
  <c r="Z13" i="3"/>
  <c r="Z14" i="3"/>
  <c r="Z15" i="3"/>
  <c r="Z16" i="3"/>
  <c r="AD16" i="3" s="1"/>
  <c r="Z17" i="3"/>
  <c r="AD17" i="3" s="1"/>
  <c r="AB2" i="3"/>
  <c r="B30" i="3"/>
  <c r="B29" i="3"/>
  <c r="AD15" i="3" l="1"/>
  <c r="AD14" i="3"/>
  <c r="AD12" i="3"/>
  <c r="AD13" i="3"/>
  <c r="G2" i="5"/>
  <c r="F41" i="3"/>
  <c r="G41" i="3" s="1"/>
  <c r="Z10" i="3" l="1"/>
  <c r="AD10" i="3" s="1"/>
  <c r="Z2" i="3"/>
  <c r="AD2" i="3" s="1"/>
  <c r="H16" i="4" l="1"/>
  <c r="H8" i="4"/>
  <c r="H7" i="4"/>
  <c r="F7" i="4"/>
  <c r="F16" i="4"/>
  <c r="G16" i="4"/>
  <c r="AF35" i="3"/>
  <c r="AE35" i="3"/>
  <c r="AD35" i="3"/>
  <c r="AF29" i="3"/>
  <c r="AD29" i="3"/>
  <c r="AE29" i="3"/>
  <c r="AG30" i="3"/>
  <c r="AG31" i="3"/>
  <c r="AG32" i="3"/>
  <c r="AG33" i="3"/>
  <c r="AG34" i="3"/>
  <c r="K8" i="3"/>
  <c r="O8" i="3" s="1"/>
  <c r="K7" i="3"/>
  <c r="O7" i="3" s="1"/>
  <c r="P7" i="3" s="1"/>
  <c r="K6" i="3"/>
  <c r="O6" i="3" s="1"/>
  <c r="P6" i="3" s="1"/>
  <c r="K5" i="3"/>
  <c r="O5" i="3" s="1"/>
  <c r="P5" i="3" s="1"/>
  <c r="K4" i="3"/>
  <c r="O4" i="3" s="1"/>
  <c r="P4" i="3" s="1"/>
  <c r="K3" i="3"/>
  <c r="O3" i="3" s="1"/>
  <c r="K2" i="3"/>
  <c r="O2" i="3" s="1"/>
  <c r="P2" i="3" s="1"/>
  <c r="T6" i="3" l="1"/>
  <c r="AE6" i="3" s="1"/>
  <c r="T5" i="3"/>
  <c r="AE5" i="3" s="1"/>
  <c r="T7" i="3"/>
  <c r="AE7" i="3" s="1"/>
  <c r="P8" i="3"/>
  <c r="T4" i="3"/>
  <c r="AE4" i="3" s="1"/>
  <c r="P3" i="3"/>
  <c r="AG35" i="3"/>
  <c r="AG29" i="3"/>
  <c r="AE2" i="3"/>
  <c r="AE3" i="3" l="1"/>
  <c r="T8" i="3"/>
  <c r="AE8" i="3" s="1"/>
  <c r="K17" i="3"/>
  <c r="O17" i="3" s="1"/>
  <c r="P17" i="3" s="1"/>
  <c r="O10" i="3"/>
  <c r="P10" i="3" s="1"/>
  <c r="T17" i="3" l="1"/>
  <c r="AE17" i="3" s="1"/>
  <c r="AE10" i="3"/>
  <c r="K16" i="3"/>
  <c r="O16" i="3" s="1"/>
  <c r="P16" i="3" s="1"/>
  <c r="K15" i="3"/>
  <c r="O15" i="3" s="1"/>
  <c r="P15" i="3" s="1"/>
  <c r="K14" i="3"/>
  <c r="O14" i="3" s="1"/>
  <c r="P14" i="3" s="1"/>
  <c r="K13" i="3"/>
  <c r="O13" i="3" s="1"/>
  <c r="P13" i="3" s="1"/>
  <c r="K12" i="3"/>
  <c r="K11" i="3"/>
  <c r="O11" i="3" s="1"/>
  <c r="P11" i="3" s="1"/>
  <c r="O21" i="2"/>
  <c r="N21" i="2"/>
  <c r="M21" i="2"/>
  <c r="L21" i="2"/>
  <c r="H21" i="2"/>
  <c r="O20" i="2"/>
  <c r="N20" i="2"/>
  <c r="M20" i="2"/>
  <c r="L20" i="2"/>
  <c r="H20" i="2"/>
  <c r="O19" i="2"/>
  <c r="N19" i="2"/>
  <c r="M19" i="2"/>
  <c r="L19" i="2"/>
  <c r="H19" i="2"/>
  <c r="O18" i="2"/>
  <c r="N18" i="2"/>
  <c r="M18" i="2"/>
  <c r="L18" i="2"/>
  <c r="H18" i="2"/>
  <c r="H17" i="2"/>
  <c r="H16" i="2"/>
  <c r="H15" i="2"/>
  <c r="H14" i="2"/>
  <c r="H13" i="2"/>
  <c r="H12" i="2"/>
  <c r="H11" i="2"/>
  <c r="H10" i="2"/>
  <c r="H9" i="2"/>
  <c r="L20" i="1"/>
  <c r="J20" i="1"/>
  <c r="H20" i="1"/>
  <c r="L19" i="1"/>
  <c r="J19" i="1"/>
  <c r="H19" i="1"/>
  <c r="L18" i="1"/>
  <c r="J18" i="1"/>
  <c r="H18" i="1"/>
  <c r="L17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L9" i="1"/>
  <c r="J9" i="1"/>
  <c r="H9" i="1"/>
  <c r="L8" i="1"/>
  <c r="J8" i="1"/>
  <c r="H8" i="1"/>
  <c r="L7" i="1"/>
  <c r="J7" i="1"/>
  <c r="H7" i="1"/>
  <c r="L6" i="1"/>
  <c r="J6" i="1"/>
  <c r="H6" i="1"/>
  <c r="L5" i="1"/>
  <c r="J5" i="1"/>
  <c r="H5" i="1"/>
  <c r="L4" i="1"/>
  <c r="J4" i="1"/>
  <c r="H4" i="1"/>
  <c r="L3" i="1"/>
  <c r="J3" i="1"/>
  <c r="H3" i="1"/>
  <c r="T16" i="3" l="1"/>
  <c r="AE16" i="3" s="1"/>
  <c r="T11" i="3"/>
  <c r="AE11" i="3" s="1"/>
  <c r="T15" i="3"/>
  <c r="AE15" i="3" s="1"/>
  <c r="O12" i="3"/>
  <c r="P12" i="3" s="1"/>
  <c r="AE13" i="3"/>
  <c r="T14" i="3"/>
  <c r="AE14" i="3" s="1"/>
  <c r="AI6" i="3" s="1"/>
  <c r="AE12" i="3" l="1"/>
  <c r="AI5" i="3"/>
  <c r="AJ5" i="3" s="1"/>
  <c r="AK5" i="3" s="1"/>
  <c r="AI15" i="3"/>
  <c r="AJ15" i="3" s="1"/>
  <c r="AK15" i="3" s="1"/>
  <c r="AI3" i="3"/>
  <c r="AJ3" i="3" s="1"/>
  <c r="AK3" i="3" s="1"/>
  <c r="AN3" i="3" s="1"/>
  <c r="AI2" i="3"/>
  <c r="AJ2" i="3" s="1"/>
  <c r="AK2" i="3" s="1"/>
  <c r="AI16" i="3"/>
  <c r="AI11" i="3"/>
  <c r="AJ11" i="3" s="1"/>
  <c r="AK11" i="3" s="1"/>
  <c r="AI12" i="3"/>
  <c r="AJ12" i="3" s="1"/>
  <c r="AI14" i="3"/>
  <c r="AJ14" i="3" s="1"/>
  <c r="AK14" i="3" s="1"/>
  <c r="AI10" i="3"/>
  <c r="AJ6" i="3"/>
  <c r="AK6" i="3" s="1"/>
  <c r="AI7" i="3"/>
  <c r="AJ7" i="3" s="1"/>
  <c r="AK7" i="3" s="1"/>
  <c r="AI13" i="3"/>
  <c r="AJ13" i="3" s="1"/>
  <c r="AK13" i="3" s="1"/>
  <c r="AI4" i="3"/>
  <c r="AJ4" i="3" s="1"/>
  <c r="AK4" i="3" s="1"/>
  <c r="AJ16" i="3" l="1"/>
  <c r="AK16" i="3" s="1"/>
  <c r="AK12" i="3"/>
  <c r="AJ10" i="3"/>
  <c r="AK10" i="3" s="1"/>
</calcChain>
</file>

<file path=xl/sharedStrings.xml><?xml version="1.0" encoding="utf-8"?>
<sst xmlns="http://schemas.openxmlformats.org/spreadsheetml/2006/main" count="444" uniqueCount="179">
  <si>
    <t>Lat</t>
  </si>
  <si>
    <t>Lon</t>
  </si>
  <si>
    <t>NZTM</t>
  </si>
  <si>
    <t>NZVD2016</t>
  </si>
  <si>
    <t>Terrain Corrections</t>
  </si>
  <si>
    <t>Site name</t>
  </si>
  <si>
    <t>Session</t>
  </si>
  <si>
    <t>Gravity Meter</t>
  </si>
  <si>
    <t>Meter Reading 1</t>
  </si>
  <si>
    <t>Meter Reading 2</t>
  </si>
  <si>
    <t>Meter Reading 3</t>
  </si>
  <si>
    <t>Time 1</t>
  </si>
  <si>
    <t>Decimal Time (hr)</t>
  </si>
  <si>
    <t>Time 2</t>
  </si>
  <si>
    <t>Time 3</t>
  </si>
  <si>
    <t>TC-Zone B</t>
  </si>
  <si>
    <t>TC-Zone C</t>
  </si>
  <si>
    <t>TC-Zone D</t>
  </si>
  <si>
    <t>Team Members name</t>
  </si>
  <si>
    <t>Point ID</t>
  </si>
  <si>
    <t>d</t>
  </si>
  <si>
    <t>m</t>
  </si>
  <si>
    <t>s</t>
  </si>
  <si>
    <t>decimal</t>
  </si>
  <si>
    <t>Easting</t>
  </si>
  <si>
    <t>Northing</t>
  </si>
  <si>
    <t>Elevation</t>
  </si>
  <si>
    <t>H. Precision (m)</t>
  </si>
  <si>
    <t>V. Precision (m)</t>
  </si>
  <si>
    <t>E outwards (170-22000m)</t>
  </si>
  <si>
    <t>D outwards (53-22000m)</t>
  </si>
  <si>
    <t>n1</t>
  </si>
  <si>
    <t>Stream 2 North</t>
  </si>
  <si>
    <t>G519</t>
  </si>
  <si>
    <t>n2</t>
  </si>
  <si>
    <t>n3</t>
  </si>
  <si>
    <t>n4</t>
  </si>
  <si>
    <t>n5</t>
  </si>
  <si>
    <t>n6</t>
  </si>
  <si>
    <t>n7</t>
  </si>
  <si>
    <t>st1</t>
  </si>
  <si>
    <t>Stream 1 South</t>
  </si>
  <si>
    <t>G179</t>
  </si>
  <si>
    <t>0,0,0,1</t>
  </si>
  <si>
    <t>0,0,0,0.1,0.1,0.1</t>
  </si>
  <si>
    <t>0,0,0,0.1,0.1,0.2</t>
  </si>
  <si>
    <t>Kristian</t>
  </si>
  <si>
    <t>st2</t>
  </si>
  <si>
    <t>0.5,1,0.3,0.2</t>
  </si>
  <si>
    <t>0,0,0.2,0.1,0.4, 0.5</t>
  </si>
  <si>
    <t>0.2,0.2,0.2,1,1,1</t>
  </si>
  <si>
    <t>Alex Thomas-Long</t>
  </si>
  <si>
    <t>st3</t>
  </si>
  <si>
    <t>0.5,0,0.1,0.5</t>
  </si>
  <si>
    <t>0.5,0.2,0,0,0.1,0.7</t>
  </si>
  <si>
    <t>0,0,0,0,0,0.2</t>
  </si>
  <si>
    <t>Nathan</t>
  </si>
  <si>
    <t>st4</t>
  </si>
  <si>
    <t>0.2,0.4,0.5,1</t>
  </si>
  <si>
    <t>0,0,0,2,2,1</t>
  </si>
  <si>
    <t>0,0,0,0,0,0.7</t>
  </si>
  <si>
    <t>Brenton</t>
  </si>
  <si>
    <t>st5</t>
  </si>
  <si>
    <t>0.1,0.1,2,2</t>
  </si>
  <si>
    <t>0,0.3,0.3,0.1,0.2,0</t>
  </si>
  <si>
    <t>0,0,0.2,0.1,0.1,0.1</t>
  </si>
  <si>
    <t>Alex Tanner</t>
  </si>
  <si>
    <t>st6</t>
  </si>
  <si>
    <t>0,0,0.2,0.2</t>
  </si>
  <si>
    <t>0,0,0,0,0.3,0.2</t>
  </si>
  <si>
    <t>0.5,0,0,0,0,0</t>
  </si>
  <si>
    <t>Sam</t>
  </si>
  <si>
    <t>st7</t>
  </si>
  <si>
    <t>1,1,7,3.5</t>
  </si>
  <si>
    <t>0,0,0,1,7,7</t>
  </si>
  <si>
    <t>0,0,0,0.5,0.3,4</t>
  </si>
  <si>
    <t>Jason</t>
  </si>
  <si>
    <t>Base station</t>
  </si>
  <si>
    <t>base</t>
  </si>
  <si>
    <t>0,0,0,0,0,0,0</t>
  </si>
  <si>
    <t>20,0,0,0,0,0,0</t>
  </si>
  <si>
    <t>26,20,4,0,0,0,0</t>
  </si>
  <si>
    <t>0,0,0,0</t>
  </si>
  <si>
    <t>Reference Gravity station (post-survey)</t>
  </si>
  <si>
    <t>VUW</t>
  </si>
  <si>
    <t>Reference Gravity station (pre-survey)</t>
  </si>
  <si>
    <t>SL,SL,SL,0.5,0.5,0.5</t>
  </si>
  <si>
    <t>SL,SL,SL,0.5,0.4,0.2</t>
  </si>
  <si>
    <t>0.5,0.5,0.5,0.2</t>
  </si>
  <si>
    <t xml:space="preserve">GroupSouth </t>
  </si>
  <si>
    <t>Sbase</t>
  </si>
  <si>
    <t>s6</t>
  </si>
  <si>
    <t xml:space="preserve">Inbetween S4 and S5 next to new housing development </t>
  </si>
  <si>
    <t>S7</t>
  </si>
  <si>
    <t>s5</t>
  </si>
  <si>
    <t>SL,SL,SL,10,10,10</t>
  </si>
  <si>
    <t>SL,SL,6,6</t>
  </si>
  <si>
    <t>large basement outcrop</t>
  </si>
  <si>
    <t>S6</t>
  </si>
  <si>
    <t>s4</t>
  </si>
  <si>
    <t>SL,SL,SL,1.75,2,1.5</t>
  </si>
  <si>
    <t>SL,SL,SL,1.5,1.5,1.5</t>
  </si>
  <si>
    <t>0.5,0.5,0.2,0.2</t>
  </si>
  <si>
    <t>S5</t>
  </si>
  <si>
    <t>s3</t>
  </si>
  <si>
    <t>SL,SL,1,1</t>
  </si>
  <si>
    <t>at sea edge</t>
  </si>
  <si>
    <t>S4</t>
  </si>
  <si>
    <t>s2</t>
  </si>
  <si>
    <t>SL,SL,0.7,0.7,</t>
  </si>
  <si>
    <t>SL,SL,0.7,0.7</t>
  </si>
  <si>
    <t>1,0.3,0.7,0.7</t>
  </si>
  <si>
    <t>vegetated area, spongey ground.</t>
  </si>
  <si>
    <t>S3</t>
  </si>
  <si>
    <t>s1</t>
  </si>
  <si>
    <t>SL,SL,SL,1,1,1</t>
  </si>
  <si>
    <t>SL,SL,SL,0,0,0</t>
  </si>
  <si>
    <t>SL,SL,0.1,0.1</t>
  </si>
  <si>
    <t>carpark</t>
  </si>
  <si>
    <t>S2</t>
  </si>
  <si>
    <t>s0</t>
  </si>
  <si>
    <t>2,2,2,1,1,1</t>
  </si>
  <si>
    <t>0.75,0.2,0.5,0.75</t>
  </si>
  <si>
    <t>near toilets, manmade humps, exposed to wind</t>
  </si>
  <si>
    <t>S1</t>
  </si>
  <si>
    <t>53-22000 (Zone D out)</t>
  </si>
  <si>
    <t>170-22000 (zone E out)</t>
  </si>
  <si>
    <t>V. Precision</t>
  </si>
  <si>
    <t>H. Precision</t>
  </si>
  <si>
    <t>WGS84</t>
  </si>
  <si>
    <t>Average time</t>
  </si>
  <si>
    <t>Decimal Time 3 (hr)</t>
  </si>
  <si>
    <t>Decimal Time 2 (hr)</t>
  </si>
  <si>
    <t>Decimal Time 1 (hr)</t>
  </si>
  <si>
    <t>Average Reading</t>
  </si>
  <si>
    <t>notes</t>
  </si>
  <si>
    <t>Terrain Corr</t>
  </si>
  <si>
    <t>Ellipsoid Height</t>
  </si>
  <si>
    <t>Longitude</t>
  </si>
  <si>
    <t>Latitude</t>
  </si>
  <si>
    <t>site</t>
  </si>
  <si>
    <t>Meter #</t>
  </si>
  <si>
    <t xml:space="preserve">Latitude </t>
  </si>
  <si>
    <t xml:space="preserve">Easting </t>
  </si>
  <si>
    <t>interval</t>
  </si>
  <si>
    <t>Nbase</t>
  </si>
  <si>
    <t>Time</t>
  </si>
  <si>
    <t>G-shifted</t>
  </si>
  <si>
    <t>∆G</t>
  </si>
  <si>
    <t>G.abs</t>
  </si>
  <si>
    <t>SL,SL,0.5,0.5</t>
  </si>
  <si>
    <t>SL,SL,SL,0.5,0.5,4</t>
  </si>
  <si>
    <t>1,1,1,1</t>
  </si>
  <si>
    <t>SL,SL,SL,1,3,20</t>
  </si>
  <si>
    <t>1,SL,SL,1,1,1</t>
  </si>
  <si>
    <t>1,SL,SL,10,20,25</t>
  </si>
  <si>
    <t>b</t>
  </si>
  <si>
    <t>c</t>
  </si>
  <si>
    <t>Total TC</t>
  </si>
  <si>
    <t>FAC</t>
  </si>
  <si>
    <t xml:space="preserve">G(latitude) </t>
  </si>
  <si>
    <t>bouger plate model</t>
  </si>
  <si>
    <t>plate correction</t>
  </si>
  <si>
    <t>bouger anamoly</t>
  </si>
  <si>
    <t>Gradient</t>
  </si>
  <si>
    <t>counter radings</t>
  </si>
  <si>
    <t>Vale in mGal</t>
  </si>
  <si>
    <t>G.Value at each site in mGAl</t>
  </si>
  <si>
    <t>difference</t>
  </si>
  <si>
    <t>shifted E</t>
  </si>
  <si>
    <t>shifted N</t>
  </si>
  <si>
    <t>E'</t>
  </si>
  <si>
    <t>N'</t>
  </si>
  <si>
    <t>G.Region gradient</t>
  </si>
  <si>
    <t>G.regional</t>
  </si>
  <si>
    <t>G.Res</t>
  </si>
  <si>
    <t>G.Abs at each station</t>
  </si>
  <si>
    <t>G.abs from the graph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</si>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</sst>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:ss;@"/>
    <numFmt numFmtId="165" formatCode="hh:mm:ss"/>
  </numFmts>
  <fonts count="6" x14ac:knownFonts="1">
    <font>
      <sz val="11"/>
      <color theme="1"/>
      <name val="Calibri"/>
      <family val="2"/>
      <scheme val="minor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8"/>
      <color rgb="FF000000"/>
      <name val="Consolas"/>
      <family val="3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20" fontId="0" fillId="0" borderId="0" xfId="0" applyNumberFormat="1"/>
    <xf numFmtId="164" fontId="0" fillId="0" borderId="0" xfId="0" applyNumberFormat="1"/>
    <xf numFmtId="20" fontId="1" fillId="0" borderId="0" xfId="0" applyNumberFormat="1" applyFont="1" applyAlignment="1">
      <alignment vertical="center" wrapText="1"/>
    </xf>
    <xf numFmtId="0" fontId="2" fillId="0" borderId="0" xfId="0" applyFont="1" applyAlignment="1">
      <alignment wrapText="1"/>
    </xf>
    <xf numFmtId="20" fontId="2" fillId="0" borderId="0" xfId="0" applyNumberFormat="1" applyFont="1"/>
    <xf numFmtId="0" fontId="3" fillId="0" borderId="0" xfId="1"/>
    <xf numFmtId="165" fontId="3" fillId="0" borderId="0" xfId="1" applyNumberFormat="1"/>
    <xf numFmtId="2" fontId="4" fillId="0" borderId="0" xfId="1" applyNumberFormat="1" applyFont="1"/>
    <xf numFmtId="0" fontId="4" fillId="0" borderId="0" xfId="1" applyFont="1"/>
    <xf numFmtId="0" fontId="3" fillId="0" borderId="0" xfId="1" applyFont="1"/>
    <xf numFmtId="20" fontId="3" fillId="0" borderId="0" xfId="1" applyNumberFormat="1"/>
    <xf numFmtId="0" fontId="3" fillId="0" borderId="0" xfId="1" applyFill="1"/>
    <xf numFmtId="0" fontId="5" fillId="0" borderId="0" xfId="0" applyFont="1"/>
    <xf numFmtId="0" fontId="0" fillId="0" borderId="0" xfId="0" applyFill="1"/>
    <xf numFmtId="0" fontId="3" fillId="0" borderId="0" xfId="1" applyAlignment="1">
      <alignment horizontal="left"/>
    </xf>
    <xf numFmtId="0" fontId="0" fillId="0" borderId="0" xfId="0" applyFont="1"/>
    <xf numFmtId="0" fontId="4" fillId="0" borderId="0" xfId="0" applyFont="1"/>
    <xf numFmtId="0" fontId="3" fillId="0" borderId="0" xfId="1"/>
    <xf numFmtId="2" fontId="0" fillId="0" borderId="0" xfId="0" applyNumberFormat="1"/>
    <xf numFmtId="0" fontId="0" fillId="0" borderId="0" xfId="0"/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053771272748644E-4"/>
                  <c:y val="-0.35850138524351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(Anomalies!$G$10,Anomalies!$G$17,Anomalies!$G$19,Anomalies!$G$20)</c:f>
              <c:numCache>
                <c:formatCode>General</c:formatCode>
                <c:ptCount val="4"/>
                <c:pt idx="0">
                  <c:v>13.82</c:v>
                </c:pt>
                <c:pt idx="1">
                  <c:v>16.28</c:v>
                </c:pt>
                <c:pt idx="2">
                  <c:v>12.2333</c:v>
                </c:pt>
                <c:pt idx="3">
                  <c:v>17.372199999999999</c:v>
                </c:pt>
              </c:numCache>
            </c:numRef>
          </c:xVal>
          <c:yVal>
            <c:numRef>
              <c:f>(Anomalies!$R$10,Anomalies!$R$17,Anomalies!$P$19,Anomalies!$P$20)</c:f>
              <c:numCache>
                <c:formatCode>General</c:formatCode>
                <c:ptCount val="4"/>
                <c:pt idx="0">
                  <c:v>3938.031560533333</c:v>
                </c:pt>
                <c:pt idx="1">
                  <c:v>3938.0807882666663</c:v>
                </c:pt>
                <c:pt idx="2">
                  <c:v>3937.9976320000001</c:v>
                </c:pt>
                <c:pt idx="3">
                  <c:v>3938.1031199999998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AC-4417-827B-E5D32BC9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6728"/>
        <c:axId val="317543776"/>
      </c:scatterChart>
      <c:valAx>
        <c:axId val="31754672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43776"/>
        <c:crosses val="autoZero"/>
        <c:crossBetween val="midCat"/>
      </c:valAx>
      <c:valAx>
        <c:axId val="3175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07550091720679E-2"/>
          <c:y val="0.18027621010154909"/>
          <c:w val="0.91429139131418036"/>
          <c:h val="0.71346685080147199"/>
        </c:manualLayout>
      </c:layout>
      <c:scatterChart>
        <c:scatterStyle val="lineMarker"/>
        <c:varyColors val="0"/>
        <c:ser>
          <c:idx val="0"/>
          <c:order val="0"/>
          <c:tx>
            <c:v>Nbase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881680066550065"/>
                  <c:y val="-6.7115256175627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(Anomalies!$G$2,Anomalies!$G$8,Anomalies!$G$21,Anomalies!$G$22)</c:f>
              <c:numCache>
                <c:formatCode>General</c:formatCode>
                <c:ptCount val="4"/>
                <c:pt idx="0">
                  <c:v>13.955555555555556</c:v>
                </c:pt>
                <c:pt idx="1">
                  <c:v>16.044444444444441</c:v>
                </c:pt>
                <c:pt idx="2">
                  <c:v>12.3611</c:v>
                </c:pt>
                <c:pt idx="3">
                  <c:v>17.527699999999999</c:v>
                </c:pt>
              </c:numCache>
            </c:numRef>
          </c:xVal>
          <c:yVal>
            <c:numRef>
              <c:f>(Anomalies!$R$2,Anomalies!$R$8,Anomalies!$P$21,Anomalies!$P$22)</c:f>
              <c:numCache>
                <c:formatCode>General</c:formatCode>
                <c:ptCount val="4"/>
                <c:pt idx="0">
                  <c:v>3885.2083203333336</c:v>
                </c:pt>
                <c:pt idx="1">
                  <c:v>3885.3873366666662</c:v>
                </c:pt>
                <c:pt idx="2">
                  <c:v>3885.1959999999999</c:v>
                </c:pt>
                <c:pt idx="3">
                  <c:v>3885.283457666666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6-4AE3-8B82-35DCAEF9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58808"/>
        <c:axId val="254857168"/>
      </c:scatterChart>
      <c:valAx>
        <c:axId val="25485880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7168"/>
        <c:crosses val="autoZero"/>
        <c:crossBetween val="midCat"/>
      </c:valAx>
      <c:valAx>
        <c:axId val="254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Anomalies!$E$1</c:f>
              <c:strCache>
                <c:ptCount val="1"/>
                <c:pt idx="0">
                  <c:v>Northing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(Anomalies!$D$2:$D$7,Anomalies!$D$10:$D$16)</c:f>
              <c:numCache>
                <c:formatCode>General</c:formatCode>
                <c:ptCount val="13"/>
                <c:pt idx="0">
                  <c:v>1753442.7520000001</c:v>
                </c:pt>
                <c:pt idx="1">
                  <c:v>1753331.0319999999</c:v>
                </c:pt>
                <c:pt idx="2">
                  <c:v>1753262.57</c:v>
                </c:pt>
                <c:pt idx="3">
                  <c:v>1753181.808</c:v>
                </c:pt>
                <c:pt idx="4">
                  <c:v>1753116.223</c:v>
                </c:pt>
                <c:pt idx="5">
                  <c:v>1753054.162</c:v>
                </c:pt>
                <c:pt idx="6">
                  <c:v>1753441.665</c:v>
                </c:pt>
                <c:pt idx="7">
                  <c:v>1753564.6869999999</c:v>
                </c:pt>
                <c:pt idx="8">
                  <c:v>1753636.713</c:v>
                </c:pt>
                <c:pt idx="9">
                  <c:v>1753720.622</c:v>
                </c:pt>
                <c:pt idx="10">
                  <c:v>1753874.12</c:v>
                </c:pt>
                <c:pt idx="11">
                  <c:v>1753822.1089999999</c:v>
                </c:pt>
                <c:pt idx="12">
                  <c:v>1753782.933</c:v>
                </c:pt>
              </c:numCache>
            </c:numRef>
          </c:xVal>
          <c:yVal>
            <c:numRef>
              <c:f>(Anomalies!$E$2:$E$7,Anomalies!$E$10:$E$16)</c:f>
              <c:numCache>
                <c:formatCode>General</c:formatCode>
                <c:ptCount val="13"/>
                <c:pt idx="0">
                  <c:v>5423950.2039999999</c:v>
                </c:pt>
                <c:pt idx="1">
                  <c:v>5424037.5760000004</c:v>
                </c:pt>
                <c:pt idx="2">
                  <c:v>5424090.8490000004</c:v>
                </c:pt>
                <c:pt idx="3">
                  <c:v>5424156.0769999996</c:v>
                </c:pt>
                <c:pt idx="4">
                  <c:v>5424210.4869999997</c:v>
                </c:pt>
                <c:pt idx="5">
                  <c:v>5424303.5539999995</c:v>
                </c:pt>
                <c:pt idx="6">
                  <c:v>5423948.9479999999</c:v>
                </c:pt>
                <c:pt idx="7">
                  <c:v>5423810.9280000003</c:v>
                </c:pt>
                <c:pt idx="8">
                  <c:v>5423757.3789999997</c:v>
                </c:pt>
                <c:pt idx="9">
                  <c:v>5423700.9610000001</c:v>
                </c:pt>
                <c:pt idx="10">
                  <c:v>5423406.1220000004</c:v>
                </c:pt>
                <c:pt idx="11">
                  <c:v>5423499.6069999998</c:v>
                </c:pt>
                <c:pt idx="12">
                  <c:v>5423600.8039999995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7-470F-A0C7-468BB723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94312"/>
        <c:axId val="293487752"/>
      </c:scatterChart>
      <c:valAx>
        <c:axId val="29349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7752"/>
        <c:crosses val="autoZero"/>
        <c:crossBetween val="midCat"/>
      </c:valAx>
      <c:valAx>
        <c:axId val="2934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9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(Anomalies!$AM$2:$AM$7,Anomalies!$AM$11:$AM$15)</c:f>
              <c:numCache>
                <c:formatCode>General</c:formatCode>
                <c:ptCount val="11"/>
                <c:pt idx="0">
                  <c:v>524.65181407571094</c:v>
                </c:pt>
                <c:pt idx="1">
                  <c:v>383.85791515350223</c:v>
                </c:pt>
                <c:pt idx="2">
                  <c:v>297.76916532374923</c:v>
                </c:pt>
                <c:pt idx="3">
                  <c:v>194.52933918762696</c:v>
                </c:pt>
                <c:pt idx="4">
                  <c:v>109.67336934092988</c:v>
                </c:pt>
                <c:pt idx="5">
                  <c:v>0</c:v>
                </c:pt>
                <c:pt idx="6">
                  <c:v>709.34538514704013</c:v>
                </c:pt>
                <c:pt idx="7">
                  <c:v>798.15140193706884</c:v>
                </c:pt>
                <c:pt idx="8">
                  <c:v>897.3940765762253</c:v>
                </c:pt>
                <c:pt idx="9">
                  <c:v>1012.2534931987193</c:v>
                </c:pt>
                <c:pt idx="10">
                  <c:v>1111.4748486275098</c:v>
                </c:pt>
              </c:numCache>
            </c:numRef>
          </c:xVal>
          <c:yVal>
            <c:numRef>
              <c:f>(Anomalies!$AN$2:$AN$7,Anomalies!$AN$11:$AN$15)</c:f>
              <c:numCache>
                <c:formatCode>General</c:formatCode>
                <c:ptCount val="11"/>
                <c:pt idx="0">
                  <c:v>-1.9331493739282362</c:v>
                </c:pt>
                <c:pt idx="1">
                  <c:v>0</c:v>
                </c:pt>
                <c:pt idx="2">
                  <c:v>-0.98976460749288009</c:v>
                </c:pt>
                <c:pt idx="3">
                  <c:v>-0.67055048134292861</c:v>
                </c:pt>
                <c:pt idx="4">
                  <c:v>-0.32030216479903473</c:v>
                </c:pt>
                <c:pt idx="5">
                  <c:v>0</c:v>
                </c:pt>
                <c:pt idx="6">
                  <c:v>-1.9295512263341124</c:v>
                </c:pt>
                <c:pt idx="7">
                  <c:v>-1.4999977098875625</c:v>
                </c:pt>
                <c:pt idx="8">
                  <c:v>-0.69992226104970712</c:v>
                </c:pt>
                <c:pt idx="9">
                  <c:v>0</c:v>
                </c:pt>
                <c:pt idx="10">
                  <c:v>0.74752926475861869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E-47E5-9115-8DB2EC9A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29328"/>
        <c:axId val="531831952"/>
      </c:scatterChart>
      <c:valAx>
        <c:axId val="5318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31952"/>
        <c:crosses val="autoZero"/>
        <c:crossBetween val="midCat"/>
      </c:valAx>
      <c:valAx>
        <c:axId val="531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848425196850391E-2"/>
                  <c:y val="0.30974227179935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Uncertainty!$D$2:$D$15</c:f>
              <c:numCache>
                <c:formatCode>General</c:formatCode>
                <c:ptCount val="14"/>
                <c:pt idx="0">
                  <c:v>388.59000000008382</c:v>
                </c:pt>
                <c:pt idx="1">
                  <c:v>276.86999999987893</c:v>
                </c:pt>
                <c:pt idx="2">
                  <c:v>208.40800000005402</c:v>
                </c:pt>
                <c:pt idx="3">
                  <c:v>127.64599999994971</c:v>
                </c:pt>
                <c:pt idx="4">
                  <c:v>62.060999999986961</c:v>
                </c:pt>
                <c:pt idx="5">
                  <c:v>0</c:v>
                </c:pt>
                <c:pt idx="7">
                  <c:v>387.50300000002608</c:v>
                </c:pt>
                <c:pt idx="8">
                  <c:v>510.52499999990687</c:v>
                </c:pt>
                <c:pt idx="9">
                  <c:v>582.55099999997765</c:v>
                </c:pt>
                <c:pt idx="10">
                  <c:v>666.45999999996275</c:v>
                </c:pt>
                <c:pt idx="11">
                  <c:v>819.95800000010058</c:v>
                </c:pt>
                <c:pt idx="12">
                  <c:v>767.94699999992736</c:v>
                </c:pt>
                <c:pt idx="13">
                  <c:v>728.77099999994971</c:v>
                </c:pt>
              </c:numCache>
            </c:numRef>
          </c:xVal>
          <c:yVal>
            <c:numRef>
              <c:f>Uncertainty!$E$2:$E$15</c:f>
              <c:numCache>
                <c:formatCode>General</c:formatCode>
                <c:ptCount val="14"/>
                <c:pt idx="0">
                  <c:v>-353.34999999962747</c:v>
                </c:pt>
                <c:pt idx="1">
                  <c:v>-265.97799999918789</c:v>
                </c:pt>
                <c:pt idx="2">
                  <c:v>-212.70499999914318</c:v>
                </c:pt>
                <c:pt idx="3">
                  <c:v>-147.4769999999553</c:v>
                </c:pt>
                <c:pt idx="4">
                  <c:v>-93.066999999806285</c:v>
                </c:pt>
                <c:pt idx="5">
                  <c:v>0</c:v>
                </c:pt>
                <c:pt idx="7">
                  <c:v>-354.60599999967963</c:v>
                </c:pt>
                <c:pt idx="8">
                  <c:v>-492.62599999923259</c:v>
                </c:pt>
                <c:pt idx="9">
                  <c:v>-546.17499999981374</c:v>
                </c:pt>
                <c:pt idx="10">
                  <c:v>-602.5929999994114</c:v>
                </c:pt>
                <c:pt idx="11">
                  <c:v>-897.43199999909848</c:v>
                </c:pt>
                <c:pt idx="12">
                  <c:v>-803.94699999969453</c:v>
                </c:pt>
                <c:pt idx="13">
                  <c:v>-702.75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F-4CED-AD49-9B2EBD7CD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3392"/>
        <c:axId val="504474376"/>
      </c:scatterChart>
      <c:valAx>
        <c:axId val="5044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4376"/>
        <c:crosses val="autoZero"/>
        <c:crossBetween val="midCat"/>
      </c:valAx>
      <c:valAx>
        <c:axId val="5044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9486111111111112"/>
          <c:w val="0.8970625546806648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Uncertainty!$F$2:$F$15</c:f>
              <c:numCache>
                <c:formatCode>General</c:formatCode>
                <c:ptCount val="14"/>
                <c:pt idx="0">
                  <c:v>524.6518140757114</c:v>
                </c:pt>
                <c:pt idx="1">
                  <c:v>383.85791515350223</c:v>
                </c:pt>
                <c:pt idx="2">
                  <c:v>297.76916532374923</c:v>
                </c:pt>
                <c:pt idx="3">
                  <c:v>194.52933918762696</c:v>
                </c:pt>
                <c:pt idx="4">
                  <c:v>109.67336934092988</c:v>
                </c:pt>
                <c:pt idx="5">
                  <c:v>0</c:v>
                </c:pt>
                <c:pt idx="7">
                  <c:v>524.76990564246364</c:v>
                </c:pt>
                <c:pt idx="8">
                  <c:v>709.34538514704013</c:v>
                </c:pt>
                <c:pt idx="9">
                  <c:v>798.15140193706884</c:v>
                </c:pt>
                <c:pt idx="10">
                  <c:v>897.3940765762253</c:v>
                </c:pt>
                <c:pt idx="11">
                  <c:v>1214.3310708715762</c:v>
                </c:pt>
                <c:pt idx="12">
                  <c:v>1111.4748486275098</c:v>
                </c:pt>
                <c:pt idx="13">
                  <c:v>1012.2534931987193</c:v>
                </c:pt>
              </c:numCache>
            </c:numRef>
          </c:xVal>
          <c:yVal>
            <c:numRef>
              <c:f>Uncertainty!$G$2:$G$15</c:f>
              <c:numCache>
                <c:formatCode>General</c:formatCode>
                <c:ptCount val="14"/>
                <c:pt idx="0">
                  <c:v>24.472118561069152</c:v>
                </c:pt>
                <c:pt idx="1">
                  <c:v>7.3752530470242448</c:v>
                </c:pt>
                <c:pt idx="2">
                  <c:v>-3.2917580493885623</c:v>
                </c:pt>
                <c:pt idx="3">
                  <c:v>-14.188130257336852</c:v>
                </c:pt>
                <c:pt idx="4">
                  <c:v>-22.017862461426823</c:v>
                </c:pt>
                <c:pt idx="5">
                  <c:v>0</c:v>
                </c:pt>
                <c:pt idx="7">
                  <c:v>22.815266309925846</c:v>
                </c:pt>
                <c:pt idx="8">
                  <c:v>12.053052341465616</c:v>
                </c:pt>
                <c:pt idx="9">
                  <c:v>25.042719733726415</c:v>
                </c:pt>
                <c:pt idx="10">
                  <c:v>44.397371252641733</c:v>
                </c:pt>
                <c:pt idx="11">
                  <c:v>-55.815470099584331</c:v>
                </c:pt>
                <c:pt idx="12">
                  <c:v>-26.401410679202854</c:v>
                </c:pt>
                <c:pt idx="13">
                  <c:v>17.538484766850388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B-4713-BBB5-1E3E26B2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89320"/>
        <c:axId val="566296864"/>
      </c:scatterChart>
      <c:valAx>
        <c:axId val="56628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96864"/>
        <c:crosses val="autoZero"/>
        <c:crossBetween val="midCat"/>
      </c:valAx>
      <c:valAx>
        <c:axId val="5662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23</xdr:row>
      <xdr:rowOff>180975</xdr:rowOff>
    </xdr:from>
    <xdr:to>
      <xdr:col>19</xdr:col>
      <xdr:colOff>981075</xdr:colOff>
      <xdr:row>38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845484</xdr:colOff>
      <xdr:row>26</xdr:row>
      <xdr:rowOff>35859</xdr:rowOff>
    </xdr:from>
    <xdr:to>
      <xdr:col>19</xdr:col>
      <xdr:colOff>320488</xdr:colOff>
      <xdr:row>39</xdr:row>
      <xdr:rowOff>129429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123825</xdr:rowOff>
    </xdr:from>
    <xdr:to>
      <xdr:col>13</xdr:col>
      <xdr:colOff>304800</xdr:colOff>
      <xdr:row>64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185737</xdr:colOff>
      <xdr:row>29</xdr:row>
      <xdr:rowOff>4762</xdr:rowOff>
    </xdr:from>
    <xdr:to>
      <xdr:col>26</xdr:col>
      <xdr:colOff>319087</xdr:colOff>
      <xdr:row>43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242887</xdr:colOff>
      <xdr:row>7</xdr:row>
      <xdr:rowOff>38100</xdr:rowOff>
    </xdr:from>
    <xdr:to>
      <xdr:col>25</xdr:col>
      <xdr:colOff>547687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7</xdr:row>
      <xdr:rowOff>95250</xdr:rowOff>
    </xdr:from>
    <xdr:to>
      <xdr:col>17</xdr:col>
      <xdr:colOff>57150</xdr:colOff>
      <xdr:row>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zoomScaleNormal="100" workbookViewId="0">
      <selection activeCell="E17" activeCellId="1" sqref="E9:G15 E17:G17"/>
    </sheetView>
  </sheetViews>
  <sheetFormatPr defaultColWidth="9.109375" defaultRowHeight="14.4" x14ac:dyDescent="0.3"/>
  <cols>
    <col min="1" max="16384" width="9.109375" style="6"/>
  </cols>
  <sheetData>
    <row r="1" spans="1:30" x14ac:dyDescent="0.3">
      <c r="T1" s="6" t="s">
        <v>19</v>
      </c>
      <c r="U1" s="6" t="s">
        <v>139</v>
      </c>
      <c r="V1" s="6" t="s">
        <v>138</v>
      </c>
      <c r="W1" s="6" t="s">
        <v>137</v>
      </c>
      <c r="X1" s="6" t="s">
        <v>24</v>
      </c>
      <c r="Y1" s="6" t="s">
        <v>25</v>
      </c>
      <c r="Z1" s="6" t="s">
        <v>26</v>
      </c>
      <c r="AA1" s="6" t="s">
        <v>128</v>
      </c>
      <c r="AB1" s="6" t="s">
        <v>127</v>
      </c>
      <c r="AC1" s="6" t="s">
        <v>136</v>
      </c>
      <c r="AD1" s="6" t="s">
        <v>136</v>
      </c>
    </row>
    <row r="2" spans="1:30" x14ac:dyDescent="0.3">
      <c r="A2" s="6" t="s">
        <v>5</v>
      </c>
      <c r="B2" s="9" t="s">
        <v>135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134</v>
      </c>
      <c r="I2" s="6" t="s">
        <v>11</v>
      </c>
      <c r="J2" s="6" t="s">
        <v>13</v>
      </c>
      <c r="K2" s="6" t="s">
        <v>14</v>
      </c>
      <c r="L2" s="6" t="s">
        <v>133</v>
      </c>
      <c r="M2" s="6" t="s">
        <v>132</v>
      </c>
      <c r="N2" s="6" t="s">
        <v>131</v>
      </c>
      <c r="O2" s="6" t="s">
        <v>130</v>
      </c>
      <c r="P2" s="6" t="s">
        <v>15</v>
      </c>
      <c r="Q2" s="6" t="s">
        <v>16</v>
      </c>
      <c r="R2" s="6" t="s">
        <v>17</v>
      </c>
      <c r="S2" s="6" t="s">
        <v>18</v>
      </c>
      <c r="U2" s="6" t="s">
        <v>129</v>
      </c>
      <c r="V2" s="6" t="s">
        <v>129</v>
      </c>
      <c r="W2" s="6" t="s">
        <v>129</v>
      </c>
      <c r="X2" s="6" t="s">
        <v>2</v>
      </c>
      <c r="Y2" s="6" t="s">
        <v>2</v>
      </c>
      <c r="Z2" s="6" t="s">
        <v>3</v>
      </c>
      <c r="AA2" s="6" t="s">
        <v>128</v>
      </c>
      <c r="AB2" s="6" t="s">
        <v>127</v>
      </c>
      <c r="AC2" s="6" t="s">
        <v>126</v>
      </c>
      <c r="AD2" s="6" t="s">
        <v>125</v>
      </c>
    </row>
    <row r="3" spans="1:30" x14ac:dyDescent="0.3">
      <c r="A3" s="6" t="s">
        <v>31</v>
      </c>
      <c r="I3" s="11"/>
      <c r="T3" s="6" t="s">
        <v>31</v>
      </c>
      <c r="U3" s="6">
        <v>-41.321328061099997</v>
      </c>
      <c r="V3" s="6">
        <v>174.83338646109999</v>
      </c>
      <c r="W3" s="6">
        <v>15.071</v>
      </c>
      <c r="X3" s="6">
        <v>1753442.7520000001</v>
      </c>
      <c r="Y3" s="6">
        <v>5423950.2039999999</v>
      </c>
      <c r="Z3" s="6">
        <v>1.881</v>
      </c>
      <c r="AA3" s="6">
        <v>1.6E-2</v>
      </c>
      <c r="AB3" s="6">
        <v>2.1999999999999999E-2</v>
      </c>
      <c r="AC3" s="6">
        <v>0.348937</v>
      </c>
      <c r="AD3" s="6">
        <v>0.34983399999999998</v>
      </c>
    </row>
    <row r="4" spans="1:30" x14ac:dyDescent="0.3">
      <c r="A4" s="6" t="s">
        <v>34</v>
      </c>
      <c r="I4" s="11"/>
      <c r="T4" s="6" t="s">
        <v>34</v>
      </c>
      <c r="U4" s="6">
        <v>-41.320562694400003</v>
      </c>
      <c r="V4" s="6">
        <v>174.83203021669999</v>
      </c>
      <c r="W4" s="6">
        <v>14.497999999999999</v>
      </c>
      <c r="X4" s="6">
        <v>1753331.0319999999</v>
      </c>
      <c r="Y4" s="6">
        <v>5424037.5760000004</v>
      </c>
      <c r="Z4" s="6">
        <v>1.3120000000000001</v>
      </c>
      <c r="AA4" s="6">
        <v>1.7999999999999999E-2</v>
      </c>
      <c r="AB4" s="6">
        <v>2.4E-2</v>
      </c>
      <c r="AC4" s="6">
        <v>0.384405</v>
      </c>
      <c r="AD4" s="6">
        <v>0.38678600000000002</v>
      </c>
    </row>
    <row r="5" spans="1:30" x14ac:dyDescent="0.3">
      <c r="A5" s="6" t="s">
        <v>35</v>
      </c>
      <c r="I5" s="11"/>
      <c r="T5" s="6" t="s">
        <v>35</v>
      </c>
      <c r="U5" s="6">
        <v>-41.320096086100001</v>
      </c>
      <c r="V5" s="6">
        <v>174.8311991889</v>
      </c>
      <c r="W5" s="6">
        <v>14.366</v>
      </c>
      <c r="X5" s="6">
        <v>1753262.57</v>
      </c>
      <c r="Y5" s="6">
        <v>5424090.8490000004</v>
      </c>
      <c r="Z5" s="6">
        <v>1.1830000000000001</v>
      </c>
      <c r="AA5" s="6">
        <v>1.7999999999999999E-2</v>
      </c>
      <c r="AB5" s="6">
        <v>2.5999999999999999E-2</v>
      </c>
      <c r="AC5" s="6">
        <v>0.42156199999999999</v>
      </c>
      <c r="AD5" s="6">
        <v>0.42709599999999998</v>
      </c>
    </row>
    <row r="6" spans="1:30" x14ac:dyDescent="0.3">
      <c r="A6" s="6" t="s">
        <v>36</v>
      </c>
      <c r="I6" s="11"/>
      <c r="T6" s="6" t="s">
        <v>36</v>
      </c>
      <c r="U6" s="6">
        <v>-41.319524174999998</v>
      </c>
      <c r="V6" s="6">
        <v>174.8302182667</v>
      </c>
      <c r="W6" s="6">
        <v>14.576000000000001</v>
      </c>
      <c r="X6" s="6">
        <v>1753181.808</v>
      </c>
      <c r="Y6" s="6">
        <v>5424156.0769999996</v>
      </c>
      <c r="Z6" s="6">
        <v>1.3959999999999999</v>
      </c>
      <c r="AA6" s="6">
        <v>1.4999999999999999E-2</v>
      </c>
      <c r="AB6" s="6">
        <v>3.1E-2</v>
      </c>
      <c r="AC6" s="6">
        <v>0.49828800000000001</v>
      </c>
      <c r="AD6" s="6">
        <v>0.50812800000000002</v>
      </c>
    </row>
    <row r="7" spans="1:30" x14ac:dyDescent="0.3">
      <c r="A7" s="6" t="s">
        <v>37</v>
      </c>
      <c r="I7" s="11"/>
      <c r="T7" s="6" t="s">
        <v>37</v>
      </c>
      <c r="U7" s="6">
        <v>-41.319046766699998</v>
      </c>
      <c r="V7" s="6">
        <v>174.82942133610001</v>
      </c>
      <c r="W7" s="6">
        <v>15.372999999999999</v>
      </c>
      <c r="X7" s="6">
        <v>1753116.223</v>
      </c>
      <c r="Y7" s="6">
        <v>5424210.4869999997</v>
      </c>
      <c r="Z7" s="6">
        <v>2.1949999999999998</v>
      </c>
      <c r="AA7" s="6">
        <v>1.4E-2</v>
      </c>
      <c r="AB7" s="6">
        <v>0.02</v>
      </c>
      <c r="AC7" s="6">
        <v>0.59529699999999997</v>
      </c>
      <c r="AD7" s="6">
        <v>0.64125900000000002</v>
      </c>
    </row>
    <row r="8" spans="1:30" x14ac:dyDescent="0.3">
      <c r="A8" s="6" t="s">
        <v>38</v>
      </c>
      <c r="I8" s="11"/>
      <c r="T8" s="6" t="s">
        <v>38</v>
      </c>
      <c r="U8" s="6">
        <v>-41.3182206472</v>
      </c>
      <c r="V8" s="6">
        <v>174.82865677500001</v>
      </c>
      <c r="W8" s="6">
        <v>15.683999999999999</v>
      </c>
      <c r="X8" s="6">
        <v>1753054.162</v>
      </c>
      <c r="Y8" s="6">
        <v>5424303.5539999995</v>
      </c>
      <c r="Z8" s="6">
        <v>2.508</v>
      </c>
      <c r="AA8" s="6">
        <v>1.4E-2</v>
      </c>
      <c r="AB8" s="6">
        <v>2.7E-2</v>
      </c>
      <c r="AC8" s="6">
        <v>0.67144300000000001</v>
      </c>
      <c r="AD8" s="6">
        <v>0.76851599999999998</v>
      </c>
    </row>
    <row r="9" spans="1:30" x14ac:dyDescent="0.3">
      <c r="A9" s="6" t="s">
        <v>90</v>
      </c>
      <c r="C9" s="9" t="s">
        <v>89</v>
      </c>
      <c r="D9" s="6" t="s">
        <v>42</v>
      </c>
      <c r="E9" s="6">
        <v>3770.55</v>
      </c>
      <c r="F9" s="6">
        <v>3770.54</v>
      </c>
      <c r="G9" s="6">
        <v>3770.54</v>
      </c>
      <c r="H9" s="8">
        <f t="shared" ref="H9:H21" si="0">AVERAGE(E9:G9)</f>
        <v>3770.5433333333335</v>
      </c>
      <c r="O9" s="6">
        <v>13.82</v>
      </c>
      <c r="P9" s="6" t="s">
        <v>88</v>
      </c>
      <c r="Q9" s="6" t="s">
        <v>87</v>
      </c>
      <c r="R9" s="6" t="s">
        <v>86</v>
      </c>
    </row>
    <row r="10" spans="1:30" x14ac:dyDescent="0.3">
      <c r="A10" s="9" t="s">
        <v>124</v>
      </c>
      <c r="B10" s="9" t="s">
        <v>123</v>
      </c>
      <c r="C10" s="9" t="s">
        <v>89</v>
      </c>
      <c r="D10" s="6" t="s">
        <v>42</v>
      </c>
      <c r="E10" s="8">
        <v>3770.79</v>
      </c>
      <c r="F10" s="8">
        <v>3770.79</v>
      </c>
      <c r="G10" s="8">
        <v>3770.79</v>
      </c>
      <c r="H10" s="8">
        <f t="shared" si="0"/>
        <v>3770.7899999999995</v>
      </c>
      <c r="O10" s="9">
        <v>14.25</v>
      </c>
      <c r="P10" s="6" t="s">
        <v>122</v>
      </c>
      <c r="Q10" s="6" t="s">
        <v>121</v>
      </c>
      <c r="R10" s="6" t="s">
        <v>121</v>
      </c>
      <c r="T10" s="6" t="s">
        <v>120</v>
      </c>
      <c r="U10" s="6">
        <v>-41.321339572200003</v>
      </c>
      <c r="V10" s="6">
        <v>174.8333738</v>
      </c>
      <c r="W10" s="6">
        <v>15.146000000000001</v>
      </c>
      <c r="X10" s="6">
        <v>1753441.665</v>
      </c>
      <c r="Y10" s="6">
        <v>5423948.9479999999</v>
      </c>
      <c r="Z10" s="6">
        <v>1.9550000000000001</v>
      </c>
      <c r="AA10" s="6">
        <v>1.7000000000000001E-2</v>
      </c>
      <c r="AB10" s="6">
        <v>2.3E-2</v>
      </c>
      <c r="AC10" s="6">
        <v>0.34953400000000001</v>
      </c>
      <c r="AD10" s="6">
        <v>0.35056700000000002</v>
      </c>
    </row>
    <row r="11" spans="1:30" x14ac:dyDescent="0.3">
      <c r="A11" s="9" t="s">
        <v>119</v>
      </c>
      <c r="B11" s="9" t="s">
        <v>118</v>
      </c>
      <c r="C11" s="9" t="s">
        <v>89</v>
      </c>
      <c r="D11" s="6" t="s">
        <v>42</v>
      </c>
      <c r="E11" s="8">
        <v>3771.2</v>
      </c>
      <c r="F11" s="8">
        <v>3771.19</v>
      </c>
      <c r="G11" s="8">
        <v>3771.21</v>
      </c>
      <c r="H11" s="8">
        <f t="shared" si="0"/>
        <v>3771.1999999999994</v>
      </c>
      <c r="O11" s="9">
        <v>14.55</v>
      </c>
      <c r="P11" s="6" t="s">
        <v>117</v>
      </c>
      <c r="Q11" s="6" t="s">
        <v>116</v>
      </c>
      <c r="R11" s="6" t="s">
        <v>115</v>
      </c>
      <c r="T11" s="6" t="s">
        <v>114</v>
      </c>
      <c r="U11" s="6">
        <v>-41.322558766699999</v>
      </c>
      <c r="V11" s="6">
        <v>174.83487785279999</v>
      </c>
      <c r="W11" s="6">
        <v>15.436</v>
      </c>
      <c r="X11" s="6">
        <v>1753564.6869999999</v>
      </c>
      <c r="Y11" s="6">
        <v>5423810.9280000003</v>
      </c>
      <c r="Z11" s="6">
        <v>2.2400000000000002</v>
      </c>
      <c r="AA11" s="6">
        <v>1.4E-2</v>
      </c>
      <c r="AB11" s="6">
        <v>2.3E-2</v>
      </c>
      <c r="AC11" s="6">
        <v>0.32630900000000002</v>
      </c>
      <c r="AD11" s="6">
        <v>0.32840000000000003</v>
      </c>
    </row>
    <row r="12" spans="1:30" x14ac:dyDescent="0.3">
      <c r="A12" s="9" t="s">
        <v>113</v>
      </c>
      <c r="B12" s="9" t="s">
        <v>112</v>
      </c>
      <c r="C12" s="9" t="s">
        <v>89</v>
      </c>
      <c r="D12" s="6" t="s">
        <v>42</v>
      </c>
      <c r="E12" s="8">
        <v>3771.9</v>
      </c>
      <c r="F12" s="8">
        <v>3771.9</v>
      </c>
      <c r="G12" s="8">
        <v>3771.9</v>
      </c>
      <c r="H12" s="8">
        <f t="shared" si="0"/>
        <v>3771.9</v>
      </c>
      <c r="O12" s="9">
        <v>14.87</v>
      </c>
      <c r="P12" s="6" t="s">
        <v>111</v>
      </c>
      <c r="Q12" s="6" t="s">
        <v>110</v>
      </c>
      <c r="R12" s="6" t="s">
        <v>109</v>
      </c>
      <c r="T12" s="6" t="s">
        <v>108</v>
      </c>
      <c r="U12" s="6">
        <v>-41.323027150000001</v>
      </c>
      <c r="V12" s="6">
        <v>174.8357515667</v>
      </c>
      <c r="W12" s="6">
        <v>15.58</v>
      </c>
      <c r="X12" s="6">
        <v>1753636.713</v>
      </c>
      <c r="Y12" s="6">
        <v>5423757.3789999997</v>
      </c>
      <c r="Z12" s="6">
        <v>2.3809999999999998</v>
      </c>
      <c r="AA12" s="6">
        <v>1.2E-2</v>
      </c>
      <c r="AB12" s="6">
        <v>2.1000000000000001E-2</v>
      </c>
      <c r="AC12" s="6">
        <v>0.32065399999999999</v>
      </c>
      <c r="AD12" s="6">
        <v>0.32178099999999998</v>
      </c>
    </row>
    <row r="13" spans="1:30" x14ac:dyDescent="0.3">
      <c r="A13" s="9" t="s">
        <v>107</v>
      </c>
      <c r="B13" s="9" t="s">
        <v>106</v>
      </c>
      <c r="C13" s="9" t="s">
        <v>89</v>
      </c>
      <c r="D13" s="6" t="s">
        <v>42</v>
      </c>
      <c r="E13" s="8">
        <v>3772.75</v>
      </c>
      <c r="F13" s="8">
        <v>3772.72</v>
      </c>
      <c r="G13" s="8">
        <v>3772.7</v>
      </c>
      <c r="H13" s="8">
        <f t="shared" si="0"/>
        <v>3772.7233333333329</v>
      </c>
      <c r="O13" s="9">
        <v>15.183</v>
      </c>
      <c r="P13" s="6" t="s">
        <v>105</v>
      </c>
      <c r="Q13" s="6" t="s">
        <v>101</v>
      </c>
      <c r="R13" s="6" t="s">
        <v>100</v>
      </c>
      <c r="T13" s="6" t="s">
        <v>104</v>
      </c>
      <c r="U13" s="6">
        <v>-41.323519094399998</v>
      </c>
      <c r="V13" s="6">
        <v>174.83676793890001</v>
      </c>
      <c r="W13" s="6">
        <v>15.042999999999999</v>
      </c>
      <c r="X13" s="6">
        <v>1753720.622</v>
      </c>
      <c r="Y13" s="6">
        <v>5423700.9610000001</v>
      </c>
      <c r="Z13" s="6">
        <v>1.839</v>
      </c>
      <c r="AA13" s="6">
        <v>1.2E-2</v>
      </c>
      <c r="AB13" s="6">
        <v>2.1000000000000001E-2</v>
      </c>
      <c r="AC13" s="6">
        <v>0.31922699999999998</v>
      </c>
      <c r="AD13" s="6">
        <v>0.320295</v>
      </c>
    </row>
    <row r="14" spans="1:30" x14ac:dyDescent="0.3">
      <c r="A14" s="9" t="s">
        <v>103</v>
      </c>
      <c r="C14" s="9" t="s">
        <v>89</v>
      </c>
      <c r="D14" s="6" t="s">
        <v>42</v>
      </c>
      <c r="E14" s="8">
        <v>3773.68</v>
      </c>
      <c r="F14" s="8">
        <v>3773.68</v>
      </c>
      <c r="G14" s="8">
        <v>3773.69</v>
      </c>
      <c r="H14" s="8">
        <f t="shared" si="0"/>
        <v>3773.6833333333329</v>
      </c>
      <c r="O14" s="9">
        <v>15.43</v>
      </c>
      <c r="P14" s="6" t="s">
        <v>102</v>
      </c>
      <c r="Q14" s="6" t="s">
        <v>101</v>
      </c>
      <c r="R14" s="6" t="s">
        <v>100</v>
      </c>
      <c r="T14" s="6" t="s">
        <v>99</v>
      </c>
      <c r="U14" s="6">
        <v>-41.326144283300003</v>
      </c>
      <c r="V14" s="6">
        <v>174.83867579170001</v>
      </c>
      <c r="W14" s="6">
        <v>15.311</v>
      </c>
      <c r="X14" s="6">
        <v>1753874.12</v>
      </c>
      <c r="Y14" s="6">
        <v>5423406.1220000004</v>
      </c>
      <c r="Z14" s="6">
        <v>2.101</v>
      </c>
      <c r="AA14" s="6">
        <v>1.2999999999999999E-2</v>
      </c>
      <c r="AB14" s="6">
        <v>2.5000000000000001E-2</v>
      </c>
      <c r="AC14" s="6">
        <v>0.33400400000000002</v>
      </c>
      <c r="AD14" s="6">
        <v>0.36574899999999999</v>
      </c>
    </row>
    <row r="15" spans="1:30" x14ac:dyDescent="0.3">
      <c r="A15" s="9" t="s">
        <v>98</v>
      </c>
      <c r="B15" s="9" t="s">
        <v>97</v>
      </c>
      <c r="C15" s="9" t="s">
        <v>89</v>
      </c>
      <c r="D15" s="6" t="s">
        <v>42</v>
      </c>
      <c r="E15" s="8">
        <v>3774.47</v>
      </c>
      <c r="F15" s="8">
        <v>3774.46</v>
      </c>
      <c r="G15" s="8">
        <v>3774.46</v>
      </c>
      <c r="H15" s="8">
        <f t="shared" si="0"/>
        <v>3774.4633333333331</v>
      </c>
      <c r="O15" s="9">
        <v>15.67</v>
      </c>
      <c r="P15" s="6" t="s">
        <v>96</v>
      </c>
      <c r="Q15" s="6" t="s">
        <v>95</v>
      </c>
      <c r="R15" s="10" t="s">
        <v>95</v>
      </c>
      <c r="T15" s="6" t="s">
        <v>94</v>
      </c>
      <c r="U15" s="6">
        <v>-41.32531255</v>
      </c>
      <c r="V15" s="6">
        <v>174.83803094999999</v>
      </c>
      <c r="W15" s="6">
        <v>15.259</v>
      </c>
      <c r="X15" s="6">
        <v>1753822.1089999999</v>
      </c>
      <c r="Y15" s="6">
        <v>5423499.6069999998</v>
      </c>
      <c r="Z15" s="6">
        <v>2.0510000000000002</v>
      </c>
      <c r="AA15" s="6">
        <v>1.2999999999999999E-2</v>
      </c>
      <c r="AB15" s="6">
        <v>2.1000000000000001E-2</v>
      </c>
      <c r="AC15" s="6">
        <v>0.32376199999999999</v>
      </c>
      <c r="AD15" s="6">
        <v>0.32793699999999998</v>
      </c>
    </row>
    <row r="16" spans="1:30" x14ac:dyDescent="0.3">
      <c r="A16" s="9" t="s">
        <v>93</v>
      </c>
      <c r="B16" s="9" t="s">
        <v>92</v>
      </c>
      <c r="C16" s="9" t="s">
        <v>89</v>
      </c>
      <c r="D16" s="6" t="s">
        <v>42</v>
      </c>
      <c r="E16" s="8">
        <v>3773.09</v>
      </c>
      <c r="F16" s="8">
        <v>3773.09</v>
      </c>
      <c r="G16" s="8">
        <v>3773.09</v>
      </c>
      <c r="H16" s="8">
        <f t="shared" si="0"/>
        <v>3773.09</v>
      </c>
      <c r="O16" s="9">
        <v>15.93</v>
      </c>
      <c r="T16" s="6" t="s">
        <v>91</v>
      </c>
      <c r="U16" s="6">
        <v>-41.324408936099999</v>
      </c>
      <c r="V16" s="6">
        <v>174.83753745830001</v>
      </c>
      <c r="W16" s="6">
        <v>15.686999999999999</v>
      </c>
      <c r="X16" s="6">
        <v>1753782.933</v>
      </c>
      <c r="Y16" s="6">
        <v>5423600.8039999995</v>
      </c>
      <c r="Z16" s="6">
        <v>2.48</v>
      </c>
      <c r="AA16" s="6">
        <v>1.2E-2</v>
      </c>
      <c r="AB16" s="6">
        <v>0.02</v>
      </c>
      <c r="AC16" s="6">
        <v>0.320077</v>
      </c>
      <c r="AD16" s="6">
        <v>0.32144099999999998</v>
      </c>
    </row>
    <row r="17" spans="1:18" x14ac:dyDescent="0.3">
      <c r="A17" s="9" t="s">
        <v>90</v>
      </c>
      <c r="B17" s="9"/>
      <c r="C17" s="9" t="s">
        <v>89</v>
      </c>
      <c r="D17" s="6" t="s">
        <v>42</v>
      </c>
      <c r="E17" s="8">
        <v>3770.63</v>
      </c>
      <c r="F17" s="8">
        <v>3770.64</v>
      </c>
      <c r="G17" s="8">
        <v>3770.64</v>
      </c>
      <c r="H17" s="8">
        <f t="shared" si="0"/>
        <v>3770.6366666666668</v>
      </c>
      <c r="O17" s="9">
        <v>16.28</v>
      </c>
      <c r="P17" s="6" t="s">
        <v>88</v>
      </c>
      <c r="Q17" s="6" t="s">
        <v>87</v>
      </c>
      <c r="R17" s="6" t="s">
        <v>86</v>
      </c>
    </row>
    <row r="18" spans="1:18" x14ac:dyDescent="0.3">
      <c r="A18" s="6" t="s">
        <v>84</v>
      </c>
      <c r="B18" s="6" t="s">
        <v>85</v>
      </c>
      <c r="D18" s="6" t="s">
        <v>42</v>
      </c>
      <c r="E18" s="6">
        <v>3736.28</v>
      </c>
      <c r="F18" s="6">
        <v>3736.28</v>
      </c>
      <c r="G18" s="6">
        <v>3736.28</v>
      </c>
      <c r="H18" s="8">
        <f t="shared" si="0"/>
        <v>3736.28</v>
      </c>
      <c r="I18" s="7">
        <v>0.50902777777777797</v>
      </c>
      <c r="J18" s="7">
        <v>0.50972222222222197</v>
      </c>
      <c r="K18" s="7">
        <v>0.51041666666666696</v>
      </c>
      <c r="L18" s="6">
        <f t="shared" ref="L18:N21" si="1">HOUR(I18)+MINUTE(I18)/60</f>
        <v>12.216666666666667</v>
      </c>
      <c r="M18" s="6">
        <f t="shared" si="1"/>
        <v>12.233333333333333</v>
      </c>
      <c r="N18" s="6">
        <f t="shared" si="1"/>
        <v>12.25</v>
      </c>
      <c r="O18" s="6">
        <f>AVERAGE(L18:N18)</f>
        <v>12.233333333333334</v>
      </c>
    </row>
    <row r="19" spans="1:18" x14ac:dyDescent="0.3">
      <c r="A19" s="6" t="s">
        <v>84</v>
      </c>
      <c r="B19" s="6" t="s">
        <v>83</v>
      </c>
      <c r="D19" s="6" t="s">
        <v>42</v>
      </c>
      <c r="E19" s="6">
        <v>3736.45</v>
      </c>
      <c r="F19" s="6">
        <v>3736.45</v>
      </c>
      <c r="G19" s="6">
        <v>3736.45</v>
      </c>
      <c r="H19" s="8">
        <f t="shared" si="0"/>
        <v>3736.4499999999994</v>
      </c>
      <c r="I19" s="7">
        <v>0.72291666666666698</v>
      </c>
      <c r="J19" s="7">
        <v>0.72361111111111098</v>
      </c>
      <c r="K19" s="7">
        <v>0.72499999999999998</v>
      </c>
      <c r="L19" s="6">
        <f t="shared" si="1"/>
        <v>17.350000000000001</v>
      </c>
      <c r="M19" s="6">
        <f t="shared" si="1"/>
        <v>17.366666666666667</v>
      </c>
      <c r="N19" s="6">
        <f t="shared" si="1"/>
        <v>17.399999999999999</v>
      </c>
      <c r="O19" s="6">
        <f>AVERAGE(L19:N19)</f>
        <v>17.372222222222224</v>
      </c>
    </row>
    <row r="20" spans="1:18" x14ac:dyDescent="0.3">
      <c r="A20" s="6" t="s">
        <v>84</v>
      </c>
      <c r="B20" s="6" t="s">
        <v>85</v>
      </c>
      <c r="D20" s="6" t="s">
        <v>33</v>
      </c>
      <c r="E20" s="6">
        <v>3837.4</v>
      </c>
      <c r="F20" s="6">
        <v>3837.41</v>
      </c>
      <c r="G20" s="6">
        <v>3837.41</v>
      </c>
      <c r="H20" s="8">
        <f t="shared" si="0"/>
        <v>3837.4066666666663</v>
      </c>
      <c r="I20" s="7">
        <v>0.51388888888888895</v>
      </c>
      <c r="J20" s="7">
        <v>0.51527777777777795</v>
      </c>
      <c r="K20" s="7">
        <v>0.51597222222222205</v>
      </c>
      <c r="L20" s="6">
        <f t="shared" si="1"/>
        <v>12.333333333333334</v>
      </c>
      <c r="M20" s="6">
        <f t="shared" si="1"/>
        <v>12.366666666666667</v>
      </c>
      <c r="N20" s="6">
        <f t="shared" si="1"/>
        <v>12.383333333333333</v>
      </c>
      <c r="O20" s="6">
        <f>AVERAGE(L20:N20)</f>
        <v>12.361111111111112</v>
      </c>
    </row>
    <row r="21" spans="1:18" x14ac:dyDescent="0.3">
      <c r="A21" s="6" t="s">
        <v>84</v>
      </c>
      <c r="B21" s="6" t="s">
        <v>83</v>
      </c>
      <c r="D21" s="6" t="s">
        <v>33</v>
      </c>
      <c r="E21" s="6">
        <v>3837.64</v>
      </c>
      <c r="F21" s="6">
        <v>3837.65</v>
      </c>
      <c r="G21" s="6">
        <v>3837.65</v>
      </c>
      <c r="H21" s="8">
        <f t="shared" si="0"/>
        <v>3837.646666666667</v>
      </c>
      <c r="I21" s="7">
        <v>0.72916666666666696</v>
      </c>
      <c r="J21" s="7">
        <v>0.73055555555555496</v>
      </c>
      <c r="K21" s="7">
        <v>0.73124999999999996</v>
      </c>
      <c r="L21" s="6">
        <f t="shared" si="1"/>
        <v>17.5</v>
      </c>
      <c r="M21" s="6">
        <f t="shared" si="1"/>
        <v>17.533333333333335</v>
      </c>
      <c r="N21" s="6">
        <f t="shared" si="1"/>
        <v>17.55</v>
      </c>
      <c r="O21" s="6">
        <f>AVERAGE(L21:N21)</f>
        <v>17.527777777777775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opLeftCell="I1" zoomScale="85" zoomScaleNormal="85" workbookViewId="0">
      <selection activeCell="AG3" sqref="AG3:AG18"/>
    </sheetView>
  </sheetViews>
  <sheetFormatPr defaultRowHeight="14.4" x14ac:dyDescent="0.3"/>
  <cols>
    <col min="1" max="1" width="11.6640625" bestFit="1" customWidth="1"/>
    <col min="2" max="2" width="14.44140625" bestFit="1" customWidth="1"/>
    <col min="3" max="3" width="13.33203125" bestFit="1" customWidth="1"/>
    <col min="4" max="6" width="15.5546875" bestFit="1" customWidth="1"/>
    <col min="13" max="13" width="18.44140625" customWidth="1"/>
    <col min="14" max="14" width="11.44140625" bestFit="1" customWidth="1"/>
    <col min="15" max="15" width="16.6640625" bestFit="1" customWidth="1"/>
    <col min="16" max="16" width="16.33203125" bestFit="1" customWidth="1"/>
    <col min="17" max="17" width="20.44140625" bestFit="1" customWidth="1"/>
    <col min="29" max="29" width="10" bestFit="1" customWidth="1"/>
    <col min="30" max="31" width="15.109375" bestFit="1" customWidth="1"/>
    <col min="32" max="32" width="23.44140625" bestFit="1" customWidth="1"/>
    <col min="33" max="33" width="22.6640625" bestFit="1" customWidth="1"/>
  </cols>
  <sheetData>
    <row r="1" spans="1:33" x14ac:dyDescent="0.3">
      <c r="S1" t="s">
        <v>0</v>
      </c>
      <c r="W1" t="s">
        <v>1</v>
      </c>
      <c r="AA1" t="s">
        <v>2</v>
      </c>
      <c r="AC1" t="s">
        <v>3</v>
      </c>
      <c r="AF1" t="s">
        <v>4</v>
      </c>
    </row>
    <row r="2" spans="1:33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12</v>
      </c>
      <c r="K2" t="s">
        <v>14</v>
      </c>
      <c r="L2" t="s">
        <v>12</v>
      </c>
      <c r="M2" t="s">
        <v>130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 x14ac:dyDescent="0.3">
      <c r="A3" t="s">
        <v>31</v>
      </c>
      <c r="B3" t="s">
        <v>32</v>
      </c>
      <c r="C3" t="s">
        <v>33</v>
      </c>
      <c r="D3">
        <v>3873.17</v>
      </c>
      <c r="E3">
        <v>3873.18</v>
      </c>
      <c r="F3">
        <v>3873.17</v>
      </c>
      <c r="G3" s="1">
        <v>0.57986111111111105</v>
      </c>
      <c r="H3">
        <f t="shared" ref="H3:H10" si="0">HOUR(G3)+MINUTE(G3)/60</f>
        <v>13.916666666666666</v>
      </c>
      <c r="I3" s="1">
        <v>0.58194444444444449</v>
      </c>
      <c r="J3">
        <f t="shared" ref="J3:J10" si="1">HOUR(I3)+MINUTE(I3)/60</f>
        <v>13.966666666666667</v>
      </c>
      <c r="K3" s="1">
        <v>0.58263888888888882</v>
      </c>
      <c r="L3">
        <f t="shared" ref="L3:L10" si="2">HOUR(K3)+MINUTE(K3)/60</f>
        <v>13.983333333333333</v>
      </c>
      <c r="M3">
        <f>AVERAGE(H3,J3,L3)</f>
        <v>13.955555555555556</v>
      </c>
      <c r="N3" t="s">
        <v>82</v>
      </c>
      <c r="O3" t="s">
        <v>79</v>
      </c>
      <c r="P3" t="s">
        <v>79</v>
      </c>
      <c r="R3" t="s">
        <v>31</v>
      </c>
      <c r="S3">
        <v>-41</v>
      </c>
      <c r="T3">
        <v>19</v>
      </c>
      <c r="U3">
        <v>16.845420000000001</v>
      </c>
      <c r="V3">
        <v>-41.321345950000001</v>
      </c>
      <c r="W3">
        <v>174</v>
      </c>
      <c r="X3">
        <v>49</v>
      </c>
      <c r="Y3">
        <v>59.734920000000002</v>
      </c>
      <c r="Z3">
        <v>174.83325970000001</v>
      </c>
      <c r="AA3">
        <v>1753432.1</v>
      </c>
      <c r="AB3">
        <v>5423948.4419999998</v>
      </c>
      <c r="AC3">
        <v>1.9179999999999999</v>
      </c>
      <c r="AD3">
        <v>1.4E-2</v>
      </c>
      <c r="AE3">
        <v>2.3E-2</v>
      </c>
      <c r="AF3">
        <v>0.35281200000000001</v>
      </c>
      <c r="AG3">
        <v>0.35398499999999999</v>
      </c>
    </row>
    <row r="4" spans="1:33" x14ac:dyDescent="0.3">
      <c r="A4" t="s">
        <v>34</v>
      </c>
      <c r="B4" t="s">
        <v>32</v>
      </c>
      <c r="C4" t="s">
        <v>33</v>
      </c>
      <c r="D4">
        <v>3873.58</v>
      </c>
      <c r="E4">
        <v>3873.58</v>
      </c>
      <c r="F4">
        <v>3873.58</v>
      </c>
      <c r="G4" s="1">
        <v>0.59305555555555556</v>
      </c>
      <c r="H4">
        <f t="shared" si="0"/>
        <v>14.233333333333333</v>
      </c>
      <c r="I4" s="1">
        <v>0.59513888888888888</v>
      </c>
      <c r="J4">
        <f t="shared" si="1"/>
        <v>14.283333333333333</v>
      </c>
      <c r="K4" s="1">
        <v>0.59652777777777777</v>
      </c>
      <c r="L4">
        <f t="shared" si="2"/>
        <v>14.316666666666666</v>
      </c>
      <c r="M4">
        <f t="shared" ref="M4:M20" si="3">AVERAGE(H4,J4,L4)</f>
        <v>14.277777777777777</v>
      </c>
      <c r="N4" t="s">
        <v>82</v>
      </c>
      <c r="O4" t="s">
        <v>79</v>
      </c>
      <c r="P4" t="s">
        <v>79</v>
      </c>
      <c r="R4" t="s">
        <v>34</v>
      </c>
      <c r="S4">
        <v>-41</v>
      </c>
      <c r="T4">
        <v>19</v>
      </c>
      <c r="U4">
        <v>14.983420000000001</v>
      </c>
      <c r="V4">
        <v>-41.320828730000002</v>
      </c>
      <c r="W4">
        <v>174</v>
      </c>
      <c r="X4">
        <v>49</v>
      </c>
      <c r="Y4">
        <v>56.090339999999998</v>
      </c>
      <c r="Z4">
        <v>174.83224730000001</v>
      </c>
      <c r="AA4">
        <v>1753348.5789999999</v>
      </c>
      <c r="AB4">
        <v>5424007.6560000004</v>
      </c>
      <c r="AC4">
        <v>1.6339999999999999</v>
      </c>
      <c r="AD4">
        <v>1.4E-2</v>
      </c>
      <c r="AE4">
        <v>2.5000000000000001E-2</v>
      </c>
      <c r="AF4">
        <v>0.37706600000000001</v>
      </c>
      <c r="AG4">
        <v>0.37864999999999999</v>
      </c>
    </row>
    <row r="5" spans="1:33" x14ac:dyDescent="0.3">
      <c r="A5" t="s">
        <v>35</v>
      </c>
      <c r="B5" t="s">
        <v>32</v>
      </c>
      <c r="C5" t="s">
        <v>33</v>
      </c>
      <c r="D5">
        <v>3873.74</v>
      </c>
      <c r="E5">
        <v>3874.73</v>
      </c>
      <c r="F5">
        <v>3873.73</v>
      </c>
      <c r="G5" s="1">
        <v>0.60347222222222219</v>
      </c>
      <c r="H5">
        <f t="shared" si="0"/>
        <v>14.483333333333333</v>
      </c>
      <c r="I5" s="1">
        <v>0.60486111111111118</v>
      </c>
      <c r="J5">
        <f t="shared" si="1"/>
        <v>14.516666666666667</v>
      </c>
      <c r="K5" s="1">
        <v>0.60555555555555551</v>
      </c>
      <c r="L5">
        <f t="shared" si="2"/>
        <v>14.533333333333333</v>
      </c>
      <c r="M5">
        <f t="shared" si="3"/>
        <v>14.511111111111111</v>
      </c>
      <c r="N5" t="s">
        <v>82</v>
      </c>
      <c r="O5" t="s">
        <v>79</v>
      </c>
      <c r="P5" t="s">
        <v>79</v>
      </c>
      <c r="R5" t="s">
        <v>35</v>
      </c>
      <c r="S5">
        <v>-41</v>
      </c>
      <c r="T5">
        <v>19</v>
      </c>
      <c r="U5">
        <v>13.19842</v>
      </c>
      <c r="V5">
        <v>-41.320332890000003</v>
      </c>
      <c r="W5">
        <v>174</v>
      </c>
      <c r="X5">
        <v>49</v>
      </c>
      <c r="Y5">
        <v>52.931159999999998</v>
      </c>
      <c r="Z5">
        <v>174.8313698</v>
      </c>
      <c r="AA5">
        <v>1753276.2919999999</v>
      </c>
      <c r="AB5">
        <v>5424064.2560000001</v>
      </c>
      <c r="AC5">
        <v>1.425</v>
      </c>
      <c r="AD5">
        <v>1.4999999999999999E-2</v>
      </c>
      <c r="AE5">
        <v>0.03</v>
      </c>
      <c r="AF5">
        <v>0.40816799999999998</v>
      </c>
      <c r="AG5">
        <v>0.41286400000000001</v>
      </c>
    </row>
    <row r="6" spans="1:33" x14ac:dyDescent="0.3">
      <c r="A6" t="s">
        <v>36</v>
      </c>
      <c r="B6" t="s">
        <v>32</v>
      </c>
      <c r="C6" t="s">
        <v>33</v>
      </c>
      <c r="D6">
        <v>3873.53</v>
      </c>
      <c r="E6">
        <v>3873.54</v>
      </c>
      <c r="F6">
        <v>3873.54</v>
      </c>
      <c r="G6" s="1">
        <v>0.61527777777777781</v>
      </c>
      <c r="H6">
        <f t="shared" si="0"/>
        <v>14.766666666666667</v>
      </c>
      <c r="I6" s="1">
        <v>0.61736111111111114</v>
      </c>
      <c r="J6">
        <f t="shared" si="1"/>
        <v>14.816666666666666</v>
      </c>
      <c r="K6" s="1">
        <v>0.61805555555555558</v>
      </c>
      <c r="L6">
        <f t="shared" si="2"/>
        <v>14.833333333333334</v>
      </c>
      <c r="M6">
        <f t="shared" si="3"/>
        <v>14.805555555555557</v>
      </c>
      <c r="N6" t="s">
        <v>82</v>
      </c>
      <c r="O6" t="s">
        <v>79</v>
      </c>
      <c r="P6" t="s">
        <v>79</v>
      </c>
      <c r="R6" t="s">
        <v>36</v>
      </c>
      <c r="S6">
        <v>-41</v>
      </c>
      <c r="T6">
        <v>19</v>
      </c>
      <c r="U6">
        <v>11.24267</v>
      </c>
      <c r="V6">
        <v>-41.319789630000002</v>
      </c>
      <c r="W6">
        <v>174</v>
      </c>
      <c r="X6">
        <v>49</v>
      </c>
      <c r="Y6">
        <v>49.487099999999998</v>
      </c>
      <c r="Z6">
        <v>174.83041309999999</v>
      </c>
      <c r="AA6">
        <v>1753197.4920000001</v>
      </c>
      <c r="AB6">
        <v>5424126.2609999999</v>
      </c>
      <c r="AC6">
        <v>1.4330000000000001</v>
      </c>
      <c r="AD6">
        <v>1.4999999999999999E-2</v>
      </c>
      <c r="AE6">
        <v>2.8000000000000001E-2</v>
      </c>
      <c r="AF6">
        <v>0.47292099999999998</v>
      </c>
      <c r="AG6">
        <v>0.48314299999999999</v>
      </c>
    </row>
    <row r="7" spans="1:33" x14ac:dyDescent="0.3">
      <c r="A7" t="s">
        <v>37</v>
      </c>
      <c r="B7" t="s">
        <v>32</v>
      </c>
      <c r="C7" t="s">
        <v>33</v>
      </c>
      <c r="D7">
        <v>3873.29</v>
      </c>
      <c r="E7">
        <v>3873.29</v>
      </c>
      <c r="F7">
        <v>3873.29</v>
      </c>
      <c r="G7" s="1">
        <v>0.62986111111111109</v>
      </c>
      <c r="H7">
        <f t="shared" si="0"/>
        <v>15.116666666666667</v>
      </c>
      <c r="I7" s="1">
        <v>0.63194444444444442</v>
      </c>
      <c r="J7">
        <f t="shared" si="1"/>
        <v>15.166666666666666</v>
      </c>
      <c r="K7" s="1">
        <v>0.6333333333333333</v>
      </c>
      <c r="L7">
        <f t="shared" si="2"/>
        <v>15.2</v>
      </c>
      <c r="M7">
        <f t="shared" si="3"/>
        <v>15.161111111111111</v>
      </c>
      <c r="N7" t="s">
        <v>82</v>
      </c>
      <c r="O7" t="s">
        <v>79</v>
      </c>
      <c r="P7" t="s">
        <v>80</v>
      </c>
      <c r="R7" t="s">
        <v>37</v>
      </c>
      <c r="S7">
        <v>-41</v>
      </c>
      <c r="T7">
        <v>19</v>
      </c>
      <c r="U7">
        <v>8.6697600000000001</v>
      </c>
      <c r="V7">
        <v>-41.319074929999999</v>
      </c>
      <c r="W7">
        <v>174</v>
      </c>
      <c r="X7">
        <v>49</v>
      </c>
      <c r="Y7">
        <v>45.947980000000001</v>
      </c>
      <c r="Z7">
        <v>174.82943</v>
      </c>
      <c r="AA7">
        <v>1753116.882</v>
      </c>
      <c r="AB7">
        <v>5424207.3439999996</v>
      </c>
      <c r="AC7">
        <v>2.14</v>
      </c>
      <c r="AD7">
        <v>1.4E-2</v>
      </c>
      <c r="AE7">
        <v>2.7E-2</v>
      </c>
      <c r="AF7">
        <v>0.59262400000000004</v>
      </c>
      <c r="AG7">
        <v>0.63922100000000004</v>
      </c>
    </row>
    <row r="8" spans="1:33" x14ac:dyDescent="0.3">
      <c r="A8" t="s">
        <v>38</v>
      </c>
      <c r="B8" t="s">
        <v>32</v>
      </c>
      <c r="C8" t="s">
        <v>33</v>
      </c>
      <c r="D8">
        <v>3873.06</v>
      </c>
      <c r="E8">
        <v>3873.05</v>
      </c>
      <c r="F8">
        <v>3873.05</v>
      </c>
      <c r="G8" s="1">
        <v>0.6479166666666667</v>
      </c>
      <c r="H8">
        <f t="shared" si="0"/>
        <v>15.55</v>
      </c>
      <c r="I8" s="1">
        <v>0.65</v>
      </c>
      <c r="J8">
        <f t="shared" si="1"/>
        <v>15.6</v>
      </c>
      <c r="K8" s="1">
        <v>0.65069444444444446</v>
      </c>
      <c r="L8">
        <f t="shared" si="2"/>
        <v>15.616666666666667</v>
      </c>
      <c r="M8">
        <f t="shared" si="3"/>
        <v>15.588888888888889</v>
      </c>
      <c r="N8" t="s">
        <v>82</v>
      </c>
      <c r="O8" t="s">
        <v>79</v>
      </c>
      <c r="P8" t="s">
        <v>81</v>
      </c>
      <c r="R8" t="s">
        <v>38</v>
      </c>
      <c r="S8">
        <v>-41</v>
      </c>
      <c r="T8">
        <v>19</v>
      </c>
      <c r="U8">
        <v>5.5290499999999998</v>
      </c>
      <c r="V8">
        <v>-41.318202509999999</v>
      </c>
      <c r="W8">
        <v>174</v>
      </c>
      <c r="X8">
        <v>49</v>
      </c>
      <c r="Y8">
        <v>43.323549999999997</v>
      </c>
      <c r="Z8">
        <v>174.828701</v>
      </c>
      <c r="AA8">
        <v>1753057.905</v>
      </c>
      <c r="AB8">
        <v>5424305.4900000002</v>
      </c>
      <c r="AC8">
        <v>2.4750000000000001</v>
      </c>
      <c r="AD8">
        <v>1.4E-2</v>
      </c>
      <c r="AE8">
        <v>2.8000000000000001E-2</v>
      </c>
      <c r="AF8">
        <v>0.67437800000000003</v>
      </c>
      <c r="AG8">
        <v>0.76480599999999999</v>
      </c>
    </row>
    <row r="9" spans="1:33" x14ac:dyDescent="0.3">
      <c r="A9" t="s">
        <v>39</v>
      </c>
      <c r="B9" t="s">
        <v>32</v>
      </c>
      <c r="C9" t="s">
        <v>33</v>
      </c>
      <c r="D9">
        <v>3873.41</v>
      </c>
      <c r="E9">
        <v>3873.4</v>
      </c>
      <c r="F9">
        <v>3873.41</v>
      </c>
      <c r="G9" s="1">
        <v>0.65833333333333333</v>
      </c>
      <c r="H9">
        <f t="shared" si="0"/>
        <v>15.8</v>
      </c>
      <c r="I9" s="1">
        <v>0.65972222222222221</v>
      </c>
      <c r="J9">
        <f t="shared" si="1"/>
        <v>15.833333333333334</v>
      </c>
      <c r="K9" s="1">
        <v>0.66111111111111109</v>
      </c>
      <c r="L9">
        <f t="shared" si="2"/>
        <v>15.866666666666667</v>
      </c>
      <c r="M9">
        <f t="shared" si="3"/>
        <v>15.833333333333334</v>
      </c>
      <c r="N9" t="s">
        <v>82</v>
      </c>
      <c r="O9" t="s">
        <v>79</v>
      </c>
      <c r="P9" t="s">
        <v>79</v>
      </c>
      <c r="R9" t="s">
        <v>39</v>
      </c>
      <c r="S9">
        <v>-41</v>
      </c>
      <c r="T9">
        <v>19</v>
      </c>
      <c r="U9">
        <v>15.877090000000001</v>
      </c>
      <c r="V9">
        <v>-41.32107697</v>
      </c>
      <c r="W9">
        <v>174</v>
      </c>
      <c r="X9">
        <v>49</v>
      </c>
      <c r="Y9">
        <v>57.69811</v>
      </c>
      <c r="Z9">
        <v>174.83269390000001</v>
      </c>
      <c r="AA9">
        <v>1753385.3770000001</v>
      </c>
      <c r="AB9">
        <v>5423979.3059999999</v>
      </c>
      <c r="AC9">
        <v>1.7529999999999999</v>
      </c>
      <c r="AD9">
        <v>1.9E-2</v>
      </c>
      <c r="AE9">
        <v>3.5000000000000003E-2</v>
      </c>
      <c r="AF9">
        <v>0.36468</v>
      </c>
      <c r="AG9">
        <v>0.36575000000000002</v>
      </c>
    </row>
    <row r="10" spans="1:33" x14ac:dyDescent="0.3">
      <c r="A10" t="s">
        <v>31</v>
      </c>
      <c r="B10" t="s">
        <v>32</v>
      </c>
      <c r="C10" t="s">
        <v>33</v>
      </c>
      <c r="D10">
        <v>3873.17</v>
      </c>
      <c r="E10">
        <v>3873.17</v>
      </c>
      <c r="F10">
        <v>3873.16</v>
      </c>
      <c r="G10" s="1">
        <v>0.66736111111111107</v>
      </c>
      <c r="H10">
        <f t="shared" si="0"/>
        <v>16.016666666666666</v>
      </c>
      <c r="I10" s="1">
        <v>0.66805555555555562</v>
      </c>
      <c r="J10">
        <f t="shared" si="1"/>
        <v>16.033333333333335</v>
      </c>
      <c r="K10" s="1">
        <v>0.67013888888888884</v>
      </c>
      <c r="L10">
        <f t="shared" si="2"/>
        <v>16.083333333333332</v>
      </c>
      <c r="M10">
        <f t="shared" si="3"/>
        <v>16.044444444444441</v>
      </c>
      <c r="N10" t="s">
        <v>82</v>
      </c>
      <c r="O10" t="s">
        <v>79</v>
      </c>
      <c r="P10" t="s">
        <v>79</v>
      </c>
      <c r="R10" t="s">
        <v>31</v>
      </c>
      <c r="S10">
        <v>-41</v>
      </c>
      <c r="T10">
        <v>19</v>
      </c>
      <c r="U10">
        <v>16.845420000000001</v>
      </c>
      <c r="V10">
        <v>-41.321345950000001</v>
      </c>
      <c r="W10">
        <v>174</v>
      </c>
      <c r="X10">
        <v>49</v>
      </c>
      <c r="Y10">
        <v>59.734920000000002</v>
      </c>
      <c r="Z10">
        <v>174.83325970000001</v>
      </c>
      <c r="AA10">
        <v>1753432.1</v>
      </c>
      <c r="AB10">
        <v>5423948.4419999998</v>
      </c>
      <c r="AC10">
        <v>1.9179999999999999</v>
      </c>
      <c r="AD10">
        <v>1.4E-2</v>
      </c>
      <c r="AE10">
        <v>2.3E-2</v>
      </c>
      <c r="AF10">
        <v>0.35281200000000001</v>
      </c>
      <c r="AG10">
        <v>0.35398499999999999</v>
      </c>
    </row>
    <row r="11" spans="1:33" x14ac:dyDescent="0.3">
      <c r="A11" t="s">
        <v>40</v>
      </c>
      <c r="B11" t="s">
        <v>41</v>
      </c>
      <c r="C11" t="s">
        <v>42</v>
      </c>
      <c r="D11">
        <v>3770.6</v>
      </c>
      <c r="E11">
        <v>3770.6</v>
      </c>
      <c r="F11">
        <v>3770.62</v>
      </c>
      <c r="G11" s="1">
        <v>0.58680555555555602</v>
      </c>
      <c r="H11">
        <f t="shared" ref="H11:H20" si="4">HOUR(G11)+MINUTE(G11)/60</f>
        <v>14.083333333333334</v>
      </c>
      <c r="I11" s="1">
        <v>0.58888888888888902</v>
      </c>
      <c r="J11">
        <f t="shared" ref="J11:J20" si="5">HOUR(I11)+MINUTE(I11)/60</f>
        <v>14.133333333333333</v>
      </c>
      <c r="K11" s="1">
        <v>0.59027777777777801</v>
      </c>
      <c r="L11">
        <f t="shared" ref="L11:L20" si="6">HOUR(K11)+MINUTE(K11)/60</f>
        <v>14.166666666666666</v>
      </c>
      <c r="M11">
        <f t="shared" si="3"/>
        <v>14.127777777777778</v>
      </c>
      <c r="N11" t="s">
        <v>43</v>
      </c>
      <c r="O11" t="s">
        <v>44</v>
      </c>
      <c r="P11" t="s">
        <v>45</v>
      </c>
      <c r="Q11" t="s">
        <v>46</v>
      </c>
      <c r="R11" t="s">
        <v>40</v>
      </c>
      <c r="S11">
        <v>-41</v>
      </c>
      <c r="T11">
        <v>19</v>
      </c>
      <c r="U11">
        <v>16.881360000000001</v>
      </c>
      <c r="V11">
        <v>-41.321355930000003</v>
      </c>
      <c r="W11">
        <v>174</v>
      </c>
      <c r="X11">
        <v>49</v>
      </c>
      <c r="Y11">
        <v>59.796390000000002</v>
      </c>
      <c r="Z11">
        <v>174.83327679999999</v>
      </c>
      <c r="AA11">
        <v>1753433.5060000001</v>
      </c>
      <c r="AB11">
        <v>5423947.3030000003</v>
      </c>
      <c r="AC11">
        <v>1.9650000000000001</v>
      </c>
      <c r="AD11">
        <v>1.0999999999999999E-2</v>
      </c>
      <c r="AE11">
        <v>1.7999999999999999E-2</v>
      </c>
      <c r="AF11">
        <v>0.35253699999999999</v>
      </c>
      <c r="AG11">
        <v>0.35350599999999999</v>
      </c>
    </row>
    <row r="12" spans="1:33" x14ac:dyDescent="0.3">
      <c r="A12" t="s">
        <v>47</v>
      </c>
      <c r="B12" t="s">
        <v>41</v>
      </c>
      <c r="C12" t="s">
        <v>42</v>
      </c>
      <c r="D12">
        <v>3770.66</v>
      </c>
      <c r="E12">
        <v>3770.65</v>
      </c>
      <c r="F12">
        <v>3770.65</v>
      </c>
      <c r="G12" s="1">
        <v>0.60416666666666696</v>
      </c>
      <c r="H12">
        <f t="shared" si="4"/>
        <v>14.5</v>
      </c>
      <c r="I12" s="1">
        <v>0.60486111111111096</v>
      </c>
      <c r="J12">
        <f t="shared" si="5"/>
        <v>14.516666666666667</v>
      </c>
      <c r="K12" s="1">
        <v>0.60555555555555496</v>
      </c>
      <c r="L12">
        <f t="shared" si="6"/>
        <v>14.533333333333333</v>
      </c>
      <c r="M12">
        <f t="shared" si="3"/>
        <v>14.516666666666666</v>
      </c>
      <c r="N12" t="s">
        <v>48</v>
      </c>
      <c r="O12" t="s">
        <v>49</v>
      </c>
      <c r="P12" t="s">
        <v>50</v>
      </c>
      <c r="Q12" t="s">
        <v>51</v>
      </c>
      <c r="R12" t="s">
        <v>47</v>
      </c>
      <c r="S12">
        <v>-41</v>
      </c>
      <c r="T12">
        <v>19</v>
      </c>
      <c r="U12">
        <v>20.030899999999999</v>
      </c>
      <c r="V12">
        <v>-41.322230810000001</v>
      </c>
      <c r="W12">
        <v>174</v>
      </c>
      <c r="X12">
        <v>50</v>
      </c>
      <c r="Y12">
        <v>4.09511</v>
      </c>
      <c r="Z12">
        <v>174.83447090000001</v>
      </c>
      <c r="AA12">
        <v>1753531.3940000001</v>
      </c>
      <c r="AB12">
        <v>5423848.0599999996</v>
      </c>
      <c r="AC12">
        <v>1.99</v>
      </c>
      <c r="AD12">
        <v>1.0999999999999999E-2</v>
      </c>
      <c r="AE12">
        <v>1.9E-2</v>
      </c>
      <c r="AF12">
        <v>0.32923000000000002</v>
      </c>
      <c r="AG12">
        <v>0.33094899999999999</v>
      </c>
    </row>
    <row r="13" spans="1:33" x14ac:dyDescent="0.3">
      <c r="A13" t="s">
        <v>52</v>
      </c>
      <c r="B13" t="s">
        <v>41</v>
      </c>
      <c r="C13" t="s">
        <v>42</v>
      </c>
      <c r="D13">
        <v>3771.15</v>
      </c>
      <c r="E13">
        <v>3771.15</v>
      </c>
      <c r="F13">
        <v>3771.15</v>
      </c>
      <c r="G13" s="1">
        <v>0.61319444444444404</v>
      </c>
      <c r="H13">
        <f t="shared" si="4"/>
        <v>14.716666666666667</v>
      </c>
      <c r="I13" s="1">
        <v>0.61458333333333304</v>
      </c>
      <c r="J13">
        <f t="shared" si="5"/>
        <v>14.75</v>
      </c>
      <c r="K13" s="1">
        <v>0.61527777777777803</v>
      </c>
      <c r="L13">
        <f t="shared" si="6"/>
        <v>14.766666666666667</v>
      </c>
      <c r="M13">
        <f t="shared" si="3"/>
        <v>14.744444444444445</v>
      </c>
      <c r="N13" t="s">
        <v>53</v>
      </c>
      <c r="O13" t="s">
        <v>54</v>
      </c>
      <c r="P13" t="s">
        <v>55</v>
      </c>
      <c r="Q13" t="s">
        <v>56</v>
      </c>
      <c r="R13" t="s">
        <v>52</v>
      </c>
      <c r="S13">
        <v>-41</v>
      </c>
      <c r="T13">
        <v>19</v>
      </c>
      <c r="U13">
        <v>22.879460000000002</v>
      </c>
      <c r="V13">
        <v>-41.32302207</v>
      </c>
      <c r="W13">
        <v>174</v>
      </c>
      <c r="X13">
        <v>50</v>
      </c>
      <c r="Y13">
        <v>8.7039299999999997</v>
      </c>
      <c r="Z13">
        <v>174.83575110000001</v>
      </c>
      <c r="AA13">
        <v>1753636.6850000001</v>
      </c>
      <c r="AB13">
        <v>5423757.9440000001</v>
      </c>
      <c r="AC13">
        <v>2.423</v>
      </c>
      <c r="AD13">
        <v>1.2E-2</v>
      </c>
      <c r="AE13">
        <v>0.02</v>
      </c>
      <c r="AF13">
        <v>0.32065900000000003</v>
      </c>
      <c r="AG13">
        <v>0.32179099999999999</v>
      </c>
    </row>
    <row r="14" spans="1:33" x14ac:dyDescent="0.3">
      <c r="A14" t="s">
        <v>57</v>
      </c>
      <c r="B14" t="s">
        <v>41</v>
      </c>
      <c r="C14" t="s">
        <v>42</v>
      </c>
      <c r="D14">
        <v>3772.13</v>
      </c>
      <c r="E14">
        <v>3772.13</v>
      </c>
      <c r="F14">
        <v>3772.13</v>
      </c>
      <c r="G14" s="1">
        <v>0.62708333333333299</v>
      </c>
      <c r="H14">
        <f t="shared" si="4"/>
        <v>15.05</v>
      </c>
      <c r="I14" s="1">
        <v>0.62777777777777799</v>
      </c>
      <c r="J14">
        <f t="shared" si="5"/>
        <v>15.066666666666666</v>
      </c>
      <c r="K14" s="1">
        <v>0.62916666666666698</v>
      </c>
      <c r="L14">
        <f t="shared" si="6"/>
        <v>15.1</v>
      </c>
      <c r="M14">
        <f t="shared" si="3"/>
        <v>15.072222222222223</v>
      </c>
      <c r="N14" t="s">
        <v>58</v>
      </c>
      <c r="O14" t="s">
        <v>59</v>
      </c>
      <c r="P14" t="s">
        <v>60</v>
      </c>
      <c r="Q14" t="s">
        <v>61</v>
      </c>
      <c r="R14" t="s">
        <v>57</v>
      </c>
      <c r="S14">
        <v>-41</v>
      </c>
      <c r="T14">
        <v>19</v>
      </c>
      <c r="U14">
        <v>25.087620000000001</v>
      </c>
      <c r="V14">
        <v>-41.323635449999998</v>
      </c>
      <c r="W14">
        <v>174</v>
      </c>
      <c r="X14">
        <v>50</v>
      </c>
      <c r="Y14">
        <v>12.286339999999999</v>
      </c>
      <c r="Z14">
        <v>174.83674619999999</v>
      </c>
      <c r="AA14">
        <v>1753718.5290000001</v>
      </c>
      <c r="AB14">
        <v>5423688.0820000004</v>
      </c>
      <c r="AC14">
        <v>1.417</v>
      </c>
      <c r="AD14">
        <v>1.2E-2</v>
      </c>
      <c r="AE14">
        <v>2.1999999999999999E-2</v>
      </c>
      <c r="AF14">
        <v>0.31990800000000003</v>
      </c>
      <c r="AG14">
        <v>0.32098399999999999</v>
      </c>
    </row>
    <row r="15" spans="1:33" x14ac:dyDescent="0.3">
      <c r="A15" t="s">
        <v>62</v>
      </c>
      <c r="B15" t="s">
        <v>41</v>
      </c>
      <c r="C15" t="s">
        <v>42</v>
      </c>
      <c r="D15">
        <v>3773.08</v>
      </c>
      <c r="E15">
        <v>3773.07</v>
      </c>
      <c r="F15">
        <v>3773.06</v>
      </c>
      <c r="G15" s="1">
        <v>0.63749999999999996</v>
      </c>
      <c r="H15">
        <f t="shared" si="4"/>
        <v>15.3</v>
      </c>
      <c r="I15" s="1">
        <v>0.63888888888888895</v>
      </c>
      <c r="J15">
        <f t="shared" si="5"/>
        <v>15.333333333333334</v>
      </c>
      <c r="K15" s="1">
        <v>0.64027777777777795</v>
      </c>
      <c r="L15">
        <f t="shared" si="6"/>
        <v>15.366666666666667</v>
      </c>
      <c r="M15">
        <f t="shared" si="3"/>
        <v>15.333333333333334</v>
      </c>
      <c r="N15" t="s">
        <v>63</v>
      </c>
      <c r="O15" t="s">
        <v>64</v>
      </c>
      <c r="P15" t="s">
        <v>65</v>
      </c>
      <c r="Q15" t="s">
        <v>66</v>
      </c>
      <c r="R15" t="s">
        <v>62</v>
      </c>
      <c r="S15">
        <v>-41</v>
      </c>
      <c r="T15">
        <v>19</v>
      </c>
      <c r="U15">
        <v>28.92502</v>
      </c>
      <c r="V15">
        <v>-41.324701390000001</v>
      </c>
      <c r="W15">
        <v>174</v>
      </c>
      <c r="X15">
        <v>50</v>
      </c>
      <c r="Y15">
        <v>15.81596</v>
      </c>
      <c r="Z15">
        <v>174.83772669999999</v>
      </c>
      <c r="AA15">
        <v>1753798.08</v>
      </c>
      <c r="AB15">
        <v>5423567.9989999998</v>
      </c>
      <c r="AC15">
        <v>2.3889999999999998</v>
      </c>
      <c r="AD15">
        <v>0.02</v>
      </c>
      <c r="AE15">
        <v>3.4000000000000002E-2</v>
      </c>
      <c r="AF15">
        <v>0.32345800000000002</v>
      </c>
      <c r="AG15">
        <v>0.32633200000000001</v>
      </c>
    </row>
    <row r="16" spans="1:33" x14ac:dyDescent="0.3">
      <c r="A16" t="s">
        <v>67</v>
      </c>
      <c r="B16" t="s">
        <v>41</v>
      </c>
      <c r="C16" t="s">
        <v>42</v>
      </c>
      <c r="D16">
        <v>3773.67</v>
      </c>
      <c r="E16">
        <v>3773.67</v>
      </c>
      <c r="F16">
        <v>3773.67</v>
      </c>
      <c r="G16" s="1">
        <v>0.65138888888888902</v>
      </c>
      <c r="H16">
        <f t="shared" si="4"/>
        <v>15.633333333333333</v>
      </c>
      <c r="I16" s="1">
        <v>0.65277777777777801</v>
      </c>
      <c r="J16">
        <f t="shared" si="5"/>
        <v>15.666666666666666</v>
      </c>
      <c r="K16" s="1">
        <v>0.65347222222222201</v>
      </c>
      <c r="L16">
        <f t="shared" si="6"/>
        <v>15.683333333333334</v>
      </c>
      <c r="M16">
        <f t="shared" si="3"/>
        <v>15.661111111111111</v>
      </c>
      <c r="N16" t="s">
        <v>68</v>
      </c>
      <c r="O16" t="s">
        <v>69</v>
      </c>
      <c r="P16" t="s">
        <v>70</v>
      </c>
      <c r="Q16" t="s">
        <v>71</v>
      </c>
      <c r="R16" t="s">
        <v>67</v>
      </c>
      <c r="S16">
        <v>-41</v>
      </c>
      <c r="T16">
        <v>19</v>
      </c>
      <c r="U16">
        <v>31.105910000000002</v>
      </c>
      <c r="V16">
        <v>-41.325307199999997</v>
      </c>
      <c r="W16">
        <v>174</v>
      </c>
      <c r="X16">
        <v>50</v>
      </c>
      <c r="Y16">
        <v>16.94997</v>
      </c>
      <c r="Z16">
        <v>174.83804169999999</v>
      </c>
      <c r="AA16">
        <v>1753823.0179999999</v>
      </c>
      <c r="AB16">
        <v>5423500.182</v>
      </c>
      <c r="AC16">
        <v>2.0790000000000002</v>
      </c>
      <c r="AD16">
        <v>1.9E-2</v>
      </c>
      <c r="AE16">
        <v>3.2000000000000001E-2</v>
      </c>
      <c r="AF16">
        <v>0.32357399999999997</v>
      </c>
      <c r="AG16">
        <v>0.32762799999999997</v>
      </c>
    </row>
    <row r="17" spans="1:33" x14ac:dyDescent="0.3">
      <c r="A17" t="s">
        <v>72</v>
      </c>
      <c r="B17" t="s">
        <v>41</v>
      </c>
      <c r="C17" t="s">
        <v>42</v>
      </c>
      <c r="D17">
        <v>3774.45</v>
      </c>
      <c r="E17">
        <v>3774.44</v>
      </c>
      <c r="F17">
        <v>3774.44</v>
      </c>
      <c r="G17" s="1">
        <v>0.66111111111111098</v>
      </c>
      <c r="H17">
        <f t="shared" si="4"/>
        <v>15.866666666666667</v>
      </c>
      <c r="I17" s="1">
        <v>0.66249999999999998</v>
      </c>
      <c r="J17">
        <f t="shared" si="5"/>
        <v>15.9</v>
      </c>
      <c r="K17" s="1">
        <v>0.66319444444444398</v>
      </c>
      <c r="L17">
        <f t="shared" si="6"/>
        <v>15.916666666666666</v>
      </c>
      <c r="M17">
        <f t="shared" si="3"/>
        <v>15.894444444444444</v>
      </c>
      <c r="N17" t="s">
        <v>73</v>
      </c>
      <c r="O17" t="s">
        <v>74</v>
      </c>
      <c r="P17" t="s">
        <v>75</v>
      </c>
      <c r="Q17" t="s">
        <v>76</v>
      </c>
      <c r="R17" t="s">
        <v>72</v>
      </c>
      <c r="S17">
        <v>-41</v>
      </c>
      <c r="T17">
        <v>19</v>
      </c>
      <c r="U17">
        <v>34.118670000000002</v>
      </c>
      <c r="V17">
        <v>-41.326144079999999</v>
      </c>
      <c r="W17">
        <v>174</v>
      </c>
      <c r="X17">
        <v>50</v>
      </c>
      <c r="Y17">
        <v>19.212789999999998</v>
      </c>
      <c r="Z17">
        <v>174.8386702</v>
      </c>
      <c r="AA17">
        <v>1753873.6540000001</v>
      </c>
      <c r="AB17">
        <v>5423406.1550000003</v>
      </c>
      <c r="AC17">
        <v>2.1509999999999998</v>
      </c>
      <c r="AD17">
        <v>1.7000000000000001E-2</v>
      </c>
      <c r="AE17">
        <v>2.9000000000000001E-2</v>
      </c>
      <c r="AF17">
        <v>0.33394499999999999</v>
      </c>
      <c r="AG17">
        <v>0.36583100000000002</v>
      </c>
    </row>
    <row r="18" spans="1:33" x14ac:dyDescent="0.3">
      <c r="A18" t="s">
        <v>40</v>
      </c>
      <c r="B18" t="s">
        <v>41</v>
      </c>
      <c r="C18" t="s">
        <v>42</v>
      </c>
      <c r="D18">
        <v>3770.65</v>
      </c>
      <c r="E18">
        <v>3770.66</v>
      </c>
      <c r="F18">
        <v>3770.65</v>
      </c>
      <c r="G18" s="1">
        <v>0.67430555555555605</v>
      </c>
      <c r="H18">
        <f t="shared" si="4"/>
        <v>16.183333333333334</v>
      </c>
      <c r="I18" s="1">
        <v>0.67500000000000004</v>
      </c>
      <c r="J18">
        <f t="shared" si="5"/>
        <v>16.2</v>
      </c>
      <c r="K18" s="1">
        <v>0.67638888888888904</v>
      </c>
      <c r="L18">
        <f t="shared" si="6"/>
        <v>16.233333333333334</v>
      </c>
      <c r="M18">
        <f t="shared" si="3"/>
        <v>16.205555555555556</v>
      </c>
      <c r="N18" t="s">
        <v>43</v>
      </c>
      <c r="O18" t="s">
        <v>44</v>
      </c>
      <c r="P18" t="s">
        <v>45</v>
      </c>
      <c r="Q18" t="s">
        <v>56</v>
      </c>
      <c r="R18" t="s">
        <v>40</v>
      </c>
      <c r="S18">
        <v>-41</v>
      </c>
      <c r="T18">
        <v>19</v>
      </c>
      <c r="U18">
        <v>16.881360000000001</v>
      </c>
      <c r="V18">
        <v>-41.321355930000003</v>
      </c>
      <c r="W18">
        <v>174</v>
      </c>
      <c r="X18">
        <v>49</v>
      </c>
      <c r="Y18">
        <v>59.796390000000002</v>
      </c>
      <c r="Z18">
        <v>174.83327679999999</v>
      </c>
      <c r="AA18">
        <v>1753433.5060000001</v>
      </c>
      <c r="AB18">
        <v>5423947.3030000003</v>
      </c>
      <c r="AC18">
        <v>1.9650000000000001</v>
      </c>
      <c r="AD18">
        <v>1.0999999999999999E-2</v>
      </c>
      <c r="AE18">
        <v>1.7999999999999999E-2</v>
      </c>
      <c r="AF18">
        <v>0.35253699999999999</v>
      </c>
      <c r="AG18">
        <v>0.35350599999999999</v>
      </c>
    </row>
    <row r="19" spans="1:33" x14ac:dyDescent="0.3">
      <c r="A19" t="s">
        <v>77</v>
      </c>
      <c r="C19" t="s">
        <v>33</v>
      </c>
      <c r="D19">
        <v>3837.56</v>
      </c>
      <c r="E19">
        <v>3837.56</v>
      </c>
      <c r="F19">
        <v>3837.56</v>
      </c>
      <c r="G19" s="2">
        <v>0.52847222222222223</v>
      </c>
      <c r="H19">
        <f t="shared" si="4"/>
        <v>12.683333333333334</v>
      </c>
      <c r="I19" s="2">
        <v>0.52986111111111112</v>
      </c>
      <c r="J19">
        <f t="shared" si="5"/>
        <v>12.716666666666667</v>
      </c>
      <c r="K19" s="2">
        <v>0.53125</v>
      </c>
      <c r="L19">
        <f t="shared" si="6"/>
        <v>12.75</v>
      </c>
      <c r="M19">
        <f t="shared" si="3"/>
        <v>12.716666666666667</v>
      </c>
      <c r="R19" t="s">
        <v>78</v>
      </c>
    </row>
    <row r="20" spans="1:33" x14ac:dyDescent="0.3">
      <c r="A20" t="s">
        <v>77</v>
      </c>
      <c r="C20" t="s">
        <v>42</v>
      </c>
      <c r="D20">
        <v>3736.37</v>
      </c>
      <c r="E20">
        <v>3736.37</v>
      </c>
      <c r="F20">
        <v>3736.37</v>
      </c>
      <c r="G20" s="2">
        <v>0.53472222222222221</v>
      </c>
      <c r="H20">
        <f t="shared" si="4"/>
        <v>12.833333333333334</v>
      </c>
      <c r="I20" s="2">
        <v>0.53611111111111109</v>
      </c>
      <c r="J20">
        <f t="shared" si="5"/>
        <v>12.866666666666667</v>
      </c>
      <c r="K20" s="2">
        <v>0.53680555555555554</v>
      </c>
      <c r="L20">
        <f t="shared" si="6"/>
        <v>12.883333333333333</v>
      </c>
      <c r="M20">
        <f t="shared" si="3"/>
        <v>12.861111111111112</v>
      </c>
      <c r="R20" t="s">
        <v>78</v>
      </c>
    </row>
    <row r="27" spans="1:33" x14ac:dyDescent="0.3">
      <c r="C27" s="3"/>
      <c r="D27" s="3"/>
      <c r="E27" s="3"/>
      <c r="F27" s="3"/>
      <c r="G27" s="3"/>
      <c r="H27" s="3"/>
      <c r="I27" s="3"/>
      <c r="J27" s="4"/>
    </row>
    <row r="28" spans="1:33" x14ac:dyDescent="0.3">
      <c r="C28" s="3"/>
      <c r="D28" s="3"/>
      <c r="E28" s="3"/>
      <c r="F28" s="3"/>
      <c r="G28" s="3"/>
      <c r="H28" s="3"/>
      <c r="I28" s="3"/>
      <c r="J28" s="5"/>
    </row>
    <row r="29" spans="1:33" x14ac:dyDescent="0.3">
      <c r="C29" s="3"/>
      <c r="D29" s="3"/>
      <c r="E29" s="3"/>
      <c r="F29" s="3"/>
      <c r="G29" s="3"/>
      <c r="H29" s="3"/>
      <c r="I29" s="3"/>
      <c r="J29" s="5"/>
    </row>
    <row r="32" spans="1:33" x14ac:dyDescent="0.3">
      <c r="B32" s="1"/>
      <c r="C32" s="1"/>
      <c r="D32" s="1"/>
      <c r="E32" s="1"/>
      <c r="F32" s="1"/>
      <c r="G32" s="1"/>
      <c r="H32" s="1"/>
      <c r="I32" s="1"/>
    </row>
    <row r="33" spans="2:9" x14ac:dyDescent="0.3">
      <c r="B33" s="1"/>
      <c r="C33" s="1"/>
      <c r="D33" s="1"/>
      <c r="E33" s="1"/>
      <c r="F33" s="1"/>
      <c r="G33" s="1"/>
      <c r="H33" s="1"/>
      <c r="I33" s="1"/>
    </row>
    <row r="34" spans="2:9" x14ac:dyDescent="0.3">
      <c r="B34" s="1"/>
      <c r="C34" s="1"/>
      <c r="D34" s="1"/>
      <c r="E34" s="1"/>
      <c r="F34" s="1"/>
      <c r="G34" s="1"/>
      <c r="H34" s="1"/>
      <c r="I3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Z1" zoomScale="85" zoomScaleNormal="85" workbookViewId="0">
      <selection activeCell="AK2" sqref="AK2"/>
    </sheetView>
  </sheetViews>
  <sheetFormatPr defaultRowHeight="14.4" x14ac:dyDescent="0.3"/>
  <cols>
    <col min="7" max="7" width="15.6640625" customWidth="1"/>
    <col min="11" max="11" width="14" customWidth="1"/>
    <col min="14" max="15" width="11.109375" customWidth="1"/>
    <col min="16" max="16" width="25.88671875" customWidth="1"/>
    <col min="18" max="18" width="16.5546875" customWidth="1"/>
    <col min="19" max="19" width="19.44140625" customWidth="1"/>
    <col min="20" max="20" width="19" customWidth="1"/>
    <col min="25" max="25" width="19.5546875" customWidth="1"/>
    <col min="26" max="26" width="17.88671875" customWidth="1"/>
    <col min="27" max="27" width="21.6640625" customWidth="1"/>
    <col min="28" max="29" width="15.88671875" customWidth="1"/>
    <col min="30" max="30" width="18.33203125" customWidth="1"/>
    <col min="31" max="31" width="16.109375" customWidth="1"/>
    <col min="36" max="36" width="10.6640625" customWidth="1"/>
  </cols>
  <sheetData>
    <row r="1" spans="1:40" x14ac:dyDescent="0.3">
      <c r="A1" t="s">
        <v>140</v>
      </c>
      <c r="B1" s="6" t="s">
        <v>141</v>
      </c>
      <c r="C1" t="s">
        <v>142</v>
      </c>
      <c r="D1" t="s">
        <v>143</v>
      </c>
      <c r="E1" t="s">
        <v>25</v>
      </c>
      <c r="F1" t="s">
        <v>26</v>
      </c>
      <c r="G1" t="s">
        <v>146</v>
      </c>
      <c r="K1" s="13" t="s">
        <v>148</v>
      </c>
      <c r="L1" t="s">
        <v>165</v>
      </c>
      <c r="M1" t="s">
        <v>144</v>
      </c>
      <c r="N1" t="s">
        <v>166</v>
      </c>
      <c r="O1" t="s">
        <v>168</v>
      </c>
      <c r="P1" t="s">
        <v>167</v>
      </c>
      <c r="R1" t="s">
        <v>147</v>
      </c>
      <c r="S1" t="s">
        <v>177</v>
      </c>
      <c r="T1" t="s">
        <v>176</v>
      </c>
      <c r="Z1" t="s">
        <v>159</v>
      </c>
      <c r="AA1" t="s">
        <v>160</v>
      </c>
      <c r="AB1" t="s">
        <v>162</v>
      </c>
      <c r="AC1" t="s">
        <v>158</v>
      </c>
      <c r="AD1" t="s">
        <v>161</v>
      </c>
      <c r="AE1" t="s">
        <v>163</v>
      </c>
      <c r="AG1" t="s">
        <v>171</v>
      </c>
      <c r="AI1" t="s">
        <v>173</v>
      </c>
      <c r="AJ1" t="s">
        <v>174</v>
      </c>
      <c r="AK1" t="s">
        <v>175</v>
      </c>
      <c r="AM1" t="s">
        <v>171</v>
      </c>
      <c r="AN1" t="s">
        <v>175</v>
      </c>
    </row>
    <row r="2" spans="1:40" x14ac:dyDescent="0.3">
      <c r="A2" s="6" t="s">
        <v>31</v>
      </c>
      <c r="B2" t="s">
        <v>33</v>
      </c>
      <c r="C2" s="6">
        <v>-41.321328061099997</v>
      </c>
      <c r="D2" s="6">
        <v>1753442.7520000001</v>
      </c>
      <c r="E2" s="6">
        <v>5423950.2039999999</v>
      </c>
      <c r="F2" s="6">
        <v>1.881</v>
      </c>
      <c r="G2">
        <v>13.955555555555556</v>
      </c>
      <c r="H2" s="14">
        <v>3873.07</v>
      </c>
      <c r="I2" s="14">
        <v>3873.05</v>
      </c>
      <c r="J2" s="14">
        <v>3873.05</v>
      </c>
      <c r="K2">
        <f t="shared" ref="K2:K8" si="0">AVERAGE(H2:J2)</f>
        <v>3873.0566666666673</v>
      </c>
      <c r="L2">
        <v>3800</v>
      </c>
      <c r="M2">
        <v>1.0133000000000001</v>
      </c>
      <c r="N2">
        <v>3847.18</v>
      </c>
      <c r="O2">
        <f>K2-L2</f>
        <v>73.056666666667297</v>
      </c>
      <c r="P2">
        <f>N2+(O2*M2)</f>
        <v>3921.2083203333336</v>
      </c>
      <c r="R2">
        <f>P2-36</f>
        <v>3885.2083203333336</v>
      </c>
      <c r="S2">
        <f>(0.0268*G2)+3884.9</f>
        <v>3885.2740088888891</v>
      </c>
      <c r="T2">
        <f>980270.91+P2-S2</f>
        <v>980306.84431144455</v>
      </c>
      <c r="W2" s="12"/>
      <c r="X2" s="12"/>
      <c r="Z2">
        <f>-0.309*F2</f>
        <v>-0.581229</v>
      </c>
      <c r="AA2">
        <f>978049*(1+0.0052884*(SIN(RADIANS(C2))^2)-0.0000059*(SIN(2*RADIANS(C2))^2))</f>
        <v>980298.30507363856</v>
      </c>
      <c r="AB2">
        <f>0.0419*2.27*F2</f>
        <v>0.178907553</v>
      </c>
      <c r="AC2">
        <v>0.70679700000000001</v>
      </c>
      <c r="AD2">
        <f t="shared" ref="AD2:AD8" si="1">AA2+Z2+AB2-AC2</f>
        <v>980297.19595519151</v>
      </c>
      <c r="AE2">
        <f>T2-AD2</f>
        <v>9.6483562530484051</v>
      </c>
      <c r="AG2" s="6">
        <v>524.6518140757114</v>
      </c>
      <c r="AH2" s="18"/>
      <c r="AI2">
        <f>($AE$14-$AE$7)/($AG$14)</f>
        <v>6.6176024566410522E-4</v>
      </c>
      <c r="AJ2">
        <f>$AE$7+(AI2*AG2)</f>
        <v>11.581505626976641</v>
      </c>
      <c r="AK2">
        <f>AE2-AJ2</f>
        <v>-1.9331493739282362</v>
      </c>
      <c r="AM2" s="18">
        <v>524.65181407571094</v>
      </c>
      <c r="AN2">
        <f>AK2</f>
        <v>-1.9331493739282362</v>
      </c>
    </row>
    <row r="3" spans="1:40" x14ac:dyDescent="0.3">
      <c r="A3" s="6" t="s">
        <v>34</v>
      </c>
      <c r="B3" t="s">
        <v>33</v>
      </c>
      <c r="C3" s="6">
        <v>-41.320562694400003</v>
      </c>
      <c r="D3" s="6">
        <v>1753331.0319999999</v>
      </c>
      <c r="E3" s="6">
        <v>5424037.5760000004</v>
      </c>
      <c r="F3" s="6">
        <v>1.3120000000000001</v>
      </c>
      <c r="G3">
        <v>14.277777777777777</v>
      </c>
      <c r="H3">
        <v>3873.29</v>
      </c>
      <c r="I3">
        <v>3873.29</v>
      </c>
      <c r="J3">
        <v>3873.28</v>
      </c>
      <c r="K3">
        <f t="shared" si="0"/>
        <v>3873.2866666666669</v>
      </c>
      <c r="L3">
        <v>3800</v>
      </c>
      <c r="M3">
        <v>1.0133000000000001</v>
      </c>
      <c r="N3">
        <v>3847.18</v>
      </c>
      <c r="O3">
        <f t="shared" ref="O3:O17" si="2">K3-L3</f>
        <v>73.286666666666861</v>
      </c>
      <c r="P3">
        <f>N3+(O3*M3)</f>
        <v>3921.4413793333333</v>
      </c>
      <c r="R3" s="20">
        <f t="shared" ref="R3:R8" si="3">P3-36</f>
        <v>3885.4413793333333</v>
      </c>
      <c r="S3" s="20">
        <f t="shared" ref="S3:S8" si="4">(0.0268*G3)+3884.9</f>
        <v>3885.2826444444445</v>
      </c>
      <c r="T3" t="s">
        <v>178</v>
      </c>
      <c r="W3" s="12"/>
      <c r="X3" s="12"/>
      <c r="Z3">
        <f t="shared" ref="Z3:Z8" si="5">-0.309*F3</f>
        <v>-0.40540799999999999</v>
      </c>
      <c r="AA3">
        <f t="shared" ref="AA3:AA7" si="6">978049*(1+0.0052884*(SIN(RADIANS(C3))^2)-0.0000059*(SIN(2*RADIANS(C3))^2))</f>
        <v>980298.23658912699</v>
      </c>
      <c r="AB3">
        <f t="shared" ref="AB3:AB8" si="7">0.0419*2.27*F3</f>
        <v>0.12478825600000001</v>
      </c>
      <c r="AC3">
        <v>0.75571600000000005</v>
      </c>
      <c r="AD3">
        <f t="shared" si="1"/>
        <v>980297.20025338302</v>
      </c>
      <c r="AE3" t="e">
        <f t="shared" ref="AE3:AE7" si="8">T3-AD3</f>
        <v>#VALUE!</v>
      </c>
      <c r="AG3" s="6">
        <v>383.85791515350223</v>
      </c>
      <c r="AH3" s="18"/>
      <c r="AI3">
        <f t="shared" ref="AI3:AI16" si="9">($AE$14-$AE$7)/($AG$14)</f>
        <v>6.6176024566410522E-4</v>
      </c>
      <c r="AJ3">
        <f t="shared" ref="AJ3:AJ7" si="10">$AE$7+(AI3*AG3)</f>
        <v>11.488333821837873</v>
      </c>
      <c r="AK3" t="e">
        <f t="shared" ref="AK3:AK6" si="11">AE3-AJ3</f>
        <v>#VALUE!</v>
      </c>
      <c r="AM3" s="18">
        <v>383.85791515350223</v>
      </c>
      <c r="AN3" s="20" t="e">
        <f t="shared" ref="AN3:AN16" si="12">AK3</f>
        <v>#VALUE!</v>
      </c>
    </row>
    <row r="4" spans="1:40" x14ac:dyDescent="0.3">
      <c r="A4" s="6" t="s">
        <v>35</v>
      </c>
      <c r="B4" t="s">
        <v>33</v>
      </c>
      <c r="C4" s="6">
        <v>-41.320096086100001</v>
      </c>
      <c r="D4" s="6">
        <v>1753262.57</v>
      </c>
      <c r="E4" s="6">
        <v>5424090.8490000004</v>
      </c>
      <c r="F4" s="6">
        <v>1.1830000000000001</v>
      </c>
      <c r="G4">
        <v>14.511111111111111</v>
      </c>
      <c r="H4">
        <v>3873.76</v>
      </c>
      <c r="I4">
        <v>3873.79</v>
      </c>
      <c r="J4">
        <v>3873.79</v>
      </c>
      <c r="K4">
        <f t="shared" si="0"/>
        <v>3873.78</v>
      </c>
      <c r="L4">
        <v>3800</v>
      </c>
      <c r="M4">
        <v>1.0133000000000001</v>
      </c>
      <c r="N4">
        <v>3847.18</v>
      </c>
      <c r="O4">
        <f t="shared" si="2"/>
        <v>73.7800000000002</v>
      </c>
      <c r="P4">
        <f t="shared" ref="P4:P7" si="13">N4+(O4*M4)</f>
        <v>3921.9412740000002</v>
      </c>
      <c r="R4" s="20">
        <f t="shared" si="3"/>
        <v>3885.9412740000002</v>
      </c>
      <c r="S4" s="20">
        <f t="shared" si="4"/>
        <v>3885.2888977777779</v>
      </c>
      <c r="T4">
        <f>980270.91+P4-S4</f>
        <v>980307.56237622222</v>
      </c>
      <c r="W4" s="12"/>
      <c r="X4" s="12"/>
      <c r="Z4">
        <f t="shared" si="5"/>
        <v>-0.36554700000000001</v>
      </c>
      <c r="AA4">
        <f t="shared" si="6"/>
        <v>980298.19483744109</v>
      </c>
      <c r="AB4">
        <f t="shared" si="7"/>
        <v>0.11251867900000001</v>
      </c>
      <c r="AC4">
        <v>0.82103199999999998</v>
      </c>
      <c r="AD4">
        <f t="shared" si="1"/>
        <v>980297.12077712012</v>
      </c>
      <c r="AE4">
        <f>T4-AD4</f>
        <v>10.441599102108739</v>
      </c>
      <c r="AG4" s="6">
        <v>297.76916532374923</v>
      </c>
      <c r="AH4" s="18"/>
      <c r="AI4">
        <f t="shared" si="9"/>
        <v>6.6176024566410522E-4</v>
      </c>
      <c r="AJ4">
        <f t="shared" si="10"/>
        <v>11.431363709601619</v>
      </c>
      <c r="AK4">
        <f t="shared" si="11"/>
        <v>-0.98976460749288009</v>
      </c>
      <c r="AM4" s="18">
        <v>297.76916532374923</v>
      </c>
      <c r="AN4" s="20">
        <f t="shared" si="12"/>
        <v>-0.98976460749288009</v>
      </c>
    </row>
    <row r="5" spans="1:40" x14ac:dyDescent="0.3">
      <c r="A5" s="6" t="s">
        <v>36</v>
      </c>
      <c r="B5" t="s">
        <v>33</v>
      </c>
      <c r="C5" s="6">
        <v>-41.319524174999998</v>
      </c>
      <c r="D5" s="6">
        <v>1753181.808</v>
      </c>
      <c r="E5" s="6">
        <v>5424156.0769999996</v>
      </c>
      <c r="F5" s="6">
        <v>1.3959999999999999</v>
      </c>
      <c r="G5">
        <v>14.805555555555557</v>
      </c>
      <c r="H5">
        <v>3873.81</v>
      </c>
      <c r="I5">
        <v>3873.8</v>
      </c>
      <c r="J5">
        <v>3873.81</v>
      </c>
      <c r="K5">
        <f t="shared" si="0"/>
        <v>3873.8066666666668</v>
      </c>
      <c r="L5">
        <v>3800</v>
      </c>
      <c r="M5">
        <v>1.0133000000000001</v>
      </c>
      <c r="N5">
        <v>3847.18</v>
      </c>
      <c r="O5">
        <f t="shared" si="2"/>
        <v>73.806666666666843</v>
      </c>
      <c r="P5">
        <f>N5+(O5*M5)</f>
        <v>3921.9682953333336</v>
      </c>
      <c r="R5" s="20">
        <f t="shared" si="3"/>
        <v>3885.9682953333336</v>
      </c>
      <c r="S5" s="20">
        <f t="shared" si="4"/>
        <v>3885.2967888888888</v>
      </c>
      <c r="T5">
        <f t="shared" ref="T5:T8" si="14">980270.91+P5-S5</f>
        <v>980307.58150644449</v>
      </c>
      <c r="W5" s="12"/>
      <c r="X5" s="12"/>
      <c r="Z5">
        <f t="shared" si="5"/>
        <v>-0.43136399999999997</v>
      </c>
      <c r="AA5">
        <f t="shared" si="6"/>
        <v>980298.14366348088</v>
      </c>
      <c r="AB5">
        <f t="shared" si="7"/>
        <v>0.132777748</v>
      </c>
      <c r="AC5">
        <v>0.95606400000000002</v>
      </c>
      <c r="AD5">
        <f t="shared" si="1"/>
        <v>980296.88901322894</v>
      </c>
      <c r="AE5">
        <f t="shared" si="8"/>
        <v>10.692493215552531</v>
      </c>
      <c r="AG5" s="6">
        <v>194.52933918762696</v>
      </c>
      <c r="AH5" s="18"/>
      <c r="AI5">
        <f t="shared" si="9"/>
        <v>6.6176024566410522E-4</v>
      </c>
      <c r="AJ5">
        <f t="shared" si="10"/>
        <v>11.36304369689546</v>
      </c>
      <c r="AK5">
        <f>AE5-AJ5</f>
        <v>-0.67055048134292861</v>
      </c>
      <c r="AM5" s="18">
        <v>194.52933918762696</v>
      </c>
      <c r="AN5" s="20">
        <f t="shared" si="12"/>
        <v>-0.67055048134292861</v>
      </c>
    </row>
    <row r="6" spans="1:40" x14ac:dyDescent="0.3">
      <c r="A6" s="6" t="s">
        <v>37</v>
      </c>
      <c r="B6" t="s">
        <v>33</v>
      </c>
      <c r="C6" s="6">
        <v>-41.319046766699998</v>
      </c>
      <c r="D6" s="6">
        <v>1753116.223</v>
      </c>
      <c r="E6" s="6">
        <v>5424210.4869999997</v>
      </c>
      <c r="F6" s="6">
        <v>2.1949999999999998</v>
      </c>
      <c r="G6">
        <v>15.161111111111111</v>
      </c>
      <c r="H6">
        <v>3873.62</v>
      </c>
      <c r="I6">
        <v>3873.62</v>
      </c>
      <c r="J6">
        <v>3873.63</v>
      </c>
      <c r="K6">
        <f t="shared" si="0"/>
        <v>3873.623333333333</v>
      </c>
      <c r="L6">
        <v>3800</v>
      </c>
      <c r="M6">
        <v>1.0133000000000001</v>
      </c>
      <c r="N6">
        <v>3847.18</v>
      </c>
      <c r="O6">
        <f t="shared" si="2"/>
        <v>73.623333333332994</v>
      </c>
      <c r="P6">
        <f t="shared" si="13"/>
        <v>3921.7825236666663</v>
      </c>
      <c r="R6" s="20">
        <f t="shared" si="3"/>
        <v>3885.7825236666663</v>
      </c>
      <c r="S6" s="20">
        <f t="shared" si="4"/>
        <v>3885.3063177777781</v>
      </c>
      <c r="T6">
        <f t="shared" si="14"/>
        <v>980307.38620588894</v>
      </c>
      <c r="W6" s="12"/>
      <c r="X6" s="12"/>
      <c r="Z6">
        <f t="shared" si="5"/>
        <v>-0.67825499999999994</v>
      </c>
      <c r="AA6">
        <f t="shared" si="6"/>
        <v>980298.1009456293</v>
      </c>
      <c r="AB6">
        <f t="shared" si="7"/>
        <v>0.208773035</v>
      </c>
      <c r="AC6">
        <v>1.2318450000000001</v>
      </c>
      <c r="AD6">
        <f t="shared" si="1"/>
        <v>980296.39961866429</v>
      </c>
      <c r="AE6">
        <f t="shared" si="8"/>
        <v>10.986587224644609</v>
      </c>
      <c r="AG6" s="6">
        <v>109.67336934092988</v>
      </c>
      <c r="AH6" s="18"/>
      <c r="AI6">
        <f>($AE$14-$AE$7)/($AG$14)</f>
        <v>6.6176024566410522E-4</v>
      </c>
      <c r="AJ6">
        <f t="shared" si="10"/>
        <v>11.306889389443644</v>
      </c>
      <c r="AK6">
        <f t="shared" si="11"/>
        <v>-0.32030216479903473</v>
      </c>
      <c r="AM6" s="18">
        <v>109.67336934092988</v>
      </c>
      <c r="AN6" s="20">
        <f t="shared" si="12"/>
        <v>-0.32030216479903473</v>
      </c>
    </row>
    <row r="7" spans="1:40" x14ac:dyDescent="0.3">
      <c r="A7" s="6" t="s">
        <v>38</v>
      </c>
      <c r="B7" t="s">
        <v>33</v>
      </c>
      <c r="C7" s="6">
        <v>-41.3182206472</v>
      </c>
      <c r="D7" s="6">
        <v>1753054.162</v>
      </c>
      <c r="E7" s="6">
        <v>5424303.5539999995</v>
      </c>
      <c r="F7" s="6">
        <v>2.508</v>
      </c>
      <c r="G7">
        <v>15.588888888888889</v>
      </c>
      <c r="H7">
        <v>3873.45</v>
      </c>
      <c r="I7">
        <v>3873.44</v>
      </c>
      <c r="J7">
        <v>3873.45</v>
      </c>
      <c r="K7">
        <f t="shared" si="0"/>
        <v>3873.4466666666667</v>
      </c>
      <c r="L7">
        <v>3800</v>
      </c>
      <c r="M7">
        <v>1.0133000000000001</v>
      </c>
      <c r="N7">
        <v>3847.18</v>
      </c>
      <c r="O7">
        <f t="shared" si="2"/>
        <v>73.446666666666715</v>
      </c>
      <c r="P7">
        <f t="shared" si="13"/>
        <v>3921.6035073333333</v>
      </c>
      <c r="R7" s="20">
        <f t="shared" si="3"/>
        <v>3885.6035073333333</v>
      </c>
      <c r="S7" s="20">
        <f t="shared" si="4"/>
        <v>3885.3177822222224</v>
      </c>
      <c r="T7">
        <f>980270.91+P7-S7</f>
        <v>980307.19572511117</v>
      </c>
      <c r="W7" s="12"/>
      <c r="X7" s="12"/>
      <c r="Z7">
        <f t="shared" si="5"/>
        <v>-0.77497199999999999</v>
      </c>
      <c r="AA7">
        <f t="shared" si="6"/>
        <v>980298.02702579356</v>
      </c>
      <c r="AB7">
        <f t="shared" si="7"/>
        <v>0.23854340400000001</v>
      </c>
      <c r="AC7">
        <v>1.5291839999999999</v>
      </c>
      <c r="AD7">
        <f t="shared" si="1"/>
        <v>980295.96141319757</v>
      </c>
      <c r="AE7">
        <f t="shared" si="8"/>
        <v>11.234311913605779</v>
      </c>
      <c r="AG7" s="6">
        <v>0</v>
      </c>
      <c r="AH7" s="18"/>
      <c r="AI7">
        <f>($AE$14-$AE$7)/($AG$14)</f>
        <v>6.6176024566410522E-4</v>
      </c>
      <c r="AJ7">
        <f t="shared" si="10"/>
        <v>11.234311913605779</v>
      </c>
      <c r="AK7">
        <f>AE7-AJ7</f>
        <v>0</v>
      </c>
      <c r="AM7" s="18">
        <v>0</v>
      </c>
      <c r="AN7" s="20">
        <f t="shared" si="12"/>
        <v>0</v>
      </c>
    </row>
    <row r="8" spans="1:40" x14ac:dyDescent="0.3">
      <c r="A8" s="12" t="s">
        <v>145</v>
      </c>
      <c r="B8" t="s">
        <v>33</v>
      </c>
      <c r="C8" s="18">
        <v>-41.321328061099997</v>
      </c>
      <c r="D8" s="18">
        <v>1753442.7520000001</v>
      </c>
      <c r="E8" s="18">
        <v>5423950.2039999999</v>
      </c>
      <c r="F8" s="18">
        <v>1.881</v>
      </c>
      <c r="G8">
        <v>16.044444444444441</v>
      </c>
      <c r="H8">
        <v>3873.24</v>
      </c>
      <c r="I8">
        <v>3873.23</v>
      </c>
      <c r="J8">
        <v>3873.23</v>
      </c>
      <c r="K8">
        <f t="shared" si="0"/>
        <v>3873.2333333333331</v>
      </c>
      <c r="L8">
        <v>3800</v>
      </c>
      <c r="M8">
        <v>1.0133000000000001</v>
      </c>
      <c r="N8">
        <v>3847.18</v>
      </c>
      <c r="O8">
        <f t="shared" si="2"/>
        <v>73.233333333333121</v>
      </c>
      <c r="P8">
        <f>N8+(O8*M8)</f>
        <v>3921.3873366666662</v>
      </c>
      <c r="R8" s="20">
        <f t="shared" si="3"/>
        <v>3885.3873366666662</v>
      </c>
      <c r="S8" s="20">
        <f t="shared" si="4"/>
        <v>3885.3299911111112</v>
      </c>
      <c r="T8">
        <f t="shared" si="14"/>
        <v>980306.96734555566</v>
      </c>
      <c r="W8" s="12"/>
      <c r="X8" s="12"/>
      <c r="Z8">
        <f t="shared" si="5"/>
        <v>-0.581229</v>
      </c>
      <c r="AA8">
        <f>978049*(1+0.0052884*(SIN(RADIANS(C8))^2)-0.0000059*(SIN(2*RADIANS(C8))^2))</f>
        <v>980298.30507363856</v>
      </c>
      <c r="AB8">
        <f t="shared" si="7"/>
        <v>0.178907553</v>
      </c>
      <c r="AC8">
        <v>0.89043000000000005</v>
      </c>
      <c r="AD8">
        <f t="shared" si="1"/>
        <v>980297.0123221915</v>
      </c>
      <c r="AE8">
        <f>T8-AD8</f>
        <v>9.9550233641639352</v>
      </c>
      <c r="AN8" s="20"/>
    </row>
    <row r="9" spans="1:40" x14ac:dyDescent="0.3">
      <c r="AN9" s="20"/>
    </row>
    <row r="10" spans="1:40" x14ac:dyDescent="0.3">
      <c r="A10" s="6" t="s">
        <v>90</v>
      </c>
      <c r="B10" s="6" t="s">
        <v>42</v>
      </c>
      <c r="C10" s="6">
        <v>-41.321339572200003</v>
      </c>
      <c r="D10" s="6">
        <v>1753441.665</v>
      </c>
      <c r="E10" s="6">
        <v>5423948.9479999999</v>
      </c>
      <c r="F10" s="6">
        <v>1.9550000000000001</v>
      </c>
      <c r="G10">
        <v>13.82</v>
      </c>
      <c r="H10">
        <v>3770.6</v>
      </c>
      <c r="I10">
        <v>3770.6</v>
      </c>
      <c r="J10">
        <v>3770.62</v>
      </c>
      <c r="K10" s="8">
        <f>AVERAGE(H10:J10)</f>
        <v>3770.6066666666666</v>
      </c>
      <c r="L10">
        <v>3700</v>
      </c>
      <c r="M10" s="12">
        <v>1.05488</v>
      </c>
      <c r="N10" s="12">
        <v>3899.6</v>
      </c>
      <c r="O10">
        <f t="shared" si="2"/>
        <v>70.60666666666657</v>
      </c>
      <c r="P10">
        <f>N10+(O10*M10)</f>
        <v>3974.0815605333332</v>
      </c>
      <c r="R10">
        <f>P10-36.05</f>
        <v>3938.031560533333</v>
      </c>
      <c r="S10">
        <f>(0.0204*G10)+3937.7</f>
        <v>3937.9819279999997</v>
      </c>
      <c r="T10">
        <f>980270.91+P10-S10</f>
        <v>980307.00963253342</v>
      </c>
      <c r="W10" s="12"/>
      <c r="X10" s="12"/>
      <c r="Z10">
        <f t="shared" ref="Z10:Z17" si="15">-0.309*F10</f>
        <v>-0.60409500000000005</v>
      </c>
      <c r="AA10">
        <f>978049*(1+0.0052884*(SIN(RADIANS(C10))^2)-0.0000059*(SIN(2*RADIANS(C10))^2))</f>
        <v>980298.30610364617</v>
      </c>
      <c r="AB10">
        <f t="shared" ref="AB10:AB17" si="16">0.0419*2.27*F10</f>
        <v>0.18594591500000002</v>
      </c>
      <c r="AC10">
        <v>0.70604299999999998</v>
      </c>
      <c r="AD10">
        <f t="shared" ref="AD10:AD16" si="17">AA10+Z10+AB10-AC10</f>
        <v>980297.18191156117</v>
      </c>
      <c r="AE10">
        <f>T10-AD10</f>
        <v>9.8277209722436965</v>
      </c>
      <c r="AG10">
        <v>524.76990564246364</v>
      </c>
      <c r="AH10" s="18"/>
      <c r="AI10">
        <f>($AE$14-$AE$7)/($AG$14)</f>
        <v>6.6176024566410522E-4</v>
      </c>
      <c r="AJ10">
        <f>$AE$7+(AI10*AG10)</f>
        <v>11.581583775280865</v>
      </c>
      <c r="AK10">
        <f>AE10-AJ10</f>
        <v>-1.753862803037169</v>
      </c>
      <c r="AM10">
        <v>524.76990564246364</v>
      </c>
      <c r="AN10" s="20">
        <f t="shared" si="12"/>
        <v>-1.753862803037169</v>
      </c>
    </row>
    <row r="11" spans="1:40" x14ac:dyDescent="0.3">
      <c r="A11" s="9" t="s">
        <v>124</v>
      </c>
      <c r="B11" s="6" t="s">
        <v>42</v>
      </c>
      <c r="C11" s="6">
        <v>-41.322558766699999</v>
      </c>
      <c r="D11" s="6">
        <v>1753564.6869999999</v>
      </c>
      <c r="E11" s="6">
        <v>5423810.9280000003</v>
      </c>
      <c r="F11" s="6">
        <v>2.2400000000000002</v>
      </c>
      <c r="G11">
        <v>14.25</v>
      </c>
      <c r="H11">
        <v>3770.66</v>
      </c>
      <c r="I11">
        <v>3770.65</v>
      </c>
      <c r="J11">
        <v>3770.65</v>
      </c>
      <c r="K11" s="8">
        <f t="shared" ref="K11:K16" si="18">AVERAGE(H11:J11)</f>
        <v>3770.6533333333332</v>
      </c>
      <c r="L11">
        <v>3700</v>
      </c>
      <c r="M11" s="12">
        <v>1.05488</v>
      </c>
      <c r="N11" s="12">
        <v>3899.6</v>
      </c>
      <c r="O11">
        <f t="shared" si="2"/>
        <v>70.653333333333194</v>
      </c>
      <c r="P11">
        <f t="shared" ref="P11:P17" si="19">N11+(O11*M11)</f>
        <v>3974.1307882666665</v>
      </c>
      <c r="R11" s="20">
        <f t="shared" ref="R11:R17" si="20">P11-36.05</f>
        <v>3938.0807882666663</v>
      </c>
      <c r="S11" s="20">
        <f t="shared" ref="S11:S17" si="21">(0.0204*G11)+3937.7</f>
        <v>3937.9906999999998</v>
      </c>
      <c r="T11">
        <f t="shared" ref="T11:T17" si="22">980270.91+P11-S11</f>
        <v>980307.05008826673</v>
      </c>
      <c r="W11" s="12"/>
      <c r="X11" s="12"/>
      <c r="Z11">
        <f t="shared" si="15"/>
        <v>-0.69216000000000011</v>
      </c>
      <c r="AA11">
        <f t="shared" ref="AA11:AA17" si="23">978049*(1+0.0052884*(SIN(RADIANS(C11))^2)-0.0000059*(SIN(2*RADIANS(C11))^2))</f>
        <v>980298.41519688314</v>
      </c>
      <c r="AB11">
        <f t="shared" si="16"/>
        <v>0.21305312000000004</v>
      </c>
      <c r="AC11">
        <v>0.66017900000000007</v>
      </c>
      <c r="AD11">
        <f t="shared" si="17"/>
        <v>980297.27591100312</v>
      </c>
      <c r="AE11">
        <f t="shared" ref="AE11:AE17" si="24">T11-AD11</f>
        <v>9.774177263607271</v>
      </c>
      <c r="AG11">
        <v>709.34538514704013</v>
      </c>
      <c r="AH11" s="18"/>
      <c r="AI11">
        <f t="shared" si="9"/>
        <v>6.6176024566410522E-4</v>
      </c>
      <c r="AJ11">
        <f>$AE$7+(AI11*AG11)</f>
        <v>11.703728489941383</v>
      </c>
      <c r="AK11">
        <f t="shared" ref="AK11:AK16" si="25">AE11-AJ11</f>
        <v>-1.9295512263341124</v>
      </c>
      <c r="AM11">
        <v>709.34538514704013</v>
      </c>
      <c r="AN11" s="20">
        <f t="shared" si="12"/>
        <v>-1.9295512263341124</v>
      </c>
    </row>
    <row r="12" spans="1:40" x14ac:dyDescent="0.3">
      <c r="A12" s="9" t="s">
        <v>119</v>
      </c>
      <c r="B12" s="6" t="s">
        <v>42</v>
      </c>
      <c r="C12" s="6">
        <v>-41.323027150000001</v>
      </c>
      <c r="D12" s="6">
        <v>1753636.713</v>
      </c>
      <c r="E12" s="6">
        <v>5423757.3789999997</v>
      </c>
      <c r="F12" s="6">
        <v>2.3809999999999998</v>
      </c>
      <c r="G12" s="6">
        <v>14.55</v>
      </c>
      <c r="H12">
        <v>3771.15</v>
      </c>
      <c r="I12">
        <v>3771.15</v>
      </c>
      <c r="J12">
        <v>3771.15</v>
      </c>
      <c r="K12" s="8">
        <f t="shared" si="18"/>
        <v>3771.15</v>
      </c>
      <c r="L12">
        <v>3700</v>
      </c>
      <c r="M12" s="12">
        <v>1.05488</v>
      </c>
      <c r="N12" s="12">
        <v>3899.6</v>
      </c>
      <c r="O12" s="19">
        <f>K12-L12</f>
        <v>71.150000000000091</v>
      </c>
      <c r="P12">
        <f t="shared" si="19"/>
        <v>3974.654712</v>
      </c>
      <c r="R12" s="20">
        <f t="shared" si="20"/>
        <v>3938.6047119999998</v>
      </c>
      <c r="S12" s="20">
        <f t="shared" si="21"/>
        <v>3937.9968199999998</v>
      </c>
      <c r="T12">
        <f>980270.91+P12-S12</f>
        <v>980307.56789200008</v>
      </c>
      <c r="W12" s="12"/>
      <c r="X12" s="12"/>
      <c r="Z12">
        <f t="shared" si="15"/>
        <v>-0.73572899999999997</v>
      </c>
      <c r="AA12">
        <f t="shared" si="23"/>
        <v>980298.4571078755</v>
      </c>
      <c r="AB12">
        <f t="shared" si="16"/>
        <v>0.226464053</v>
      </c>
      <c r="AC12">
        <v>0.64244999999999997</v>
      </c>
      <c r="AD12">
        <f t="shared" si="17"/>
        <v>980297.30539292854</v>
      </c>
      <c r="AE12">
        <f t="shared" si="24"/>
        <v>10.262499071541242</v>
      </c>
      <c r="AG12" s="6">
        <v>798.15140193706884</v>
      </c>
      <c r="AH12" s="18"/>
      <c r="AI12">
        <f t="shared" si="9"/>
        <v>6.6176024566410522E-4</v>
      </c>
      <c r="AJ12">
        <f t="shared" ref="AJ12:AJ15" si="26">$AE$7+(AI12*AG12)</f>
        <v>11.762496781428805</v>
      </c>
      <c r="AK12">
        <f t="shared" si="25"/>
        <v>-1.4999977098875625</v>
      </c>
      <c r="AM12" s="18">
        <v>798.15140193706884</v>
      </c>
      <c r="AN12" s="20">
        <f t="shared" si="12"/>
        <v>-1.4999977098875625</v>
      </c>
    </row>
    <row r="13" spans="1:40" x14ac:dyDescent="0.3">
      <c r="A13" s="9" t="s">
        <v>113</v>
      </c>
      <c r="B13" s="6" t="s">
        <v>42</v>
      </c>
      <c r="C13" s="6">
        <v>-41.323519094399998</v>
      </c>
      <c r="D13" s="6">
        <v>1753720.622</v>
      </c>
      <c r="E13" s="6">
        <v>5423700.9610000001</v>
      </c>
      <c r="F13" s="6">
        <v>1.839</v>
      </c>
      <c r="G13" s="9">
        <v>14.87</v>
      </c>
      <c r="H13">
        <v>3772.13</v>
      </c>
      <c r="I13">
        <v>3772.13</v>
      </c>
      <c r="J13">
        <v>3772.13</v>
      </c>
      <c r="K13" s="8">
        <f t="shared" si="18"/>
        <v>3772.1299999999997</v>
      </c>
      <c r="L13">
        <v>3700</v>
      </c>
      <c r="M13" s="12">
        <v>1.05488</v>
      </c>
      <c r="N13" s="12">
        <v>3899.6</v>
      </c>
      <c r="O13">
        <f t="shared" si="2"/>
        <v>72.129999999999654</v>
      </c>
      <c r="P13">
        <f>N13+(O13*M13)</f>
        <v>3975.6884943999994</v>
      </c>
      <c r="R13" s="20">
        <f t="shared" si="20"/>
        <v>3939.6384943999992</v>
      </c>
      <c r="S13" s="20">
        <f t="shared" si="21"/>
        <v>3938.0033479999997</v>
      </c>
      <c r="T13">
        <f>980270.91+P13-S13</f>
        <v>980308.59514640004</v>
      </c>
      <c r="W13" s="12"/>
      <c r="X13" s="12"/>
      <c r="Z13">
        <f t="shared" si="15"/>
        <v>-0.56825099999999995</v>
      </c>
      <c r="AA13">
        <f t="shared" si="23"/>
        <v>980298.50112721603</v>
      </c>
      <c r="AB13">
        <f t="shared" si="16"/>
        <v>0.174912807</v>
      </c>
      <c r="AC13">
        <v>0.64089200000000002</v>
      </c>
      <c r="AD13">
        <f t="shared" si="17"/>
        <v>980297.46689702291</v>
      </c>
      <c r="AE13">
        <f t="shared" si="24"/>
        <v>11.128249377128668</v>
      </c>
      <c r="AG13" s="6">
        <v>897.3940765762253</v>
      </c>
      <c r="AH13" s="18"/>
      <c r="AI13">
        <f t="shared" si="9"/>
        <v>6.6176024566410522E-4</v>
      </c>
      <c r="AJ13">
        <f t="shared" si="26"/>
        <v>11.828171638178375</v>
      </c>
      <c r="AK13">
        <f t="shared" si="25"/>
        <v>-0.69992226104970712</v>
      </c>
      <c r="AM13" s="18">
        <v>897.3940765762253</v>
      </c>
      <c r="AN13" s="20">
        <f t="shared" si="12"/>
        <v>-0.69992226104970712</v>
      </c>
    </row>
    <row r="14" spans="1:40" x14ac:dyDescent="0.3">
      <c r="A14" s="9" t="s">
        <v>107</v>
      </c>
      <c r="B14" s="6" t="s">
        <v>42</v>
      </c>
      <c r="C14" s="6">
        <v>-41.32531255</v>
      </c>
      <c r="D14" s="6">
        <v>1753874.12</v>
      </c>
      <c r="E14" s="6">
        <v>5423406.1220000004</v>
      </c>
      <c r="F14" s="6">
        <v>2.101</v>
      </c>
      <c r="G14" s="9">
        <v>15.183</v>
      </c>
      <c r="H14">
        <v>3773.08</v>
      </c>
      <c r="I14">
        <v>3773.07</v>
      </c>
      <c r="J14">
        <v>3773.06</v>
      </c>
      <c r="K14" s="8">
        <f t="shared" si="18"/>
        <v>3773.0699999999997</v>
      </c>
      <c r="L14">
        <v>3700</v>
      </c>
      <c r="M14" s="12">
        <v>1.05488</v>
      </c>
      <c r="N14" s="12">
        <v>3899.6</v>
      </c>
      <c r="O14" s="19">
        <f>K14-L14</f>
        <v>73.069999999999709</v>
      </c>
      <c r="P14">
        <f>N14+(O14*M14)</f>
        <v>3976.6800815999995</v>
      </c>
      <c r="R14" s="20">
        <f t="shared" si="20"/>
        <v>3940.6300815999994</v>
      </c>
      <c r="S14" s="20">
        <f t="shared" si="21"/>
        <v>3938.0097332</v>
      </c>
      <c r="T14">
        <f t="shared" si="22"/>
        <v>980309.58034840005</v>
      </c>
      <c r="W14" s="12"/>
      <c r="X14" s="12"/>
      <c r="Z14">
        <f t="shared" si="15"/>
        <v>-0.64920900000000004</v>
      </c>
      <c r="AA14">
        <f t="shared" si="23"/>
        <v>980298.66160704568</v>
      </c>
      <c r="AB14">
        <f t="shared" si="16"/>
        <v>0.19983241300000001</v>
      </c>
      <c r="AC14">
        <v>0.66979000000000011</v>
      </c>
      <c r="AD14">
        <f t="shared" si="17"/>
        <v>980297.54244045867</v>
      </c>
      <c r="AE14">
        <f t="shared" si="24"/>
        <v>12.03790794138331</v>
      </c>
      <c r="AG14" s="6">
        <v>1214.3310708715762</v>
      </c>
      <c r="AH14" s="18"/>
      <c r="AI14">
        <f t="shared" si="9"/>
        <v>6.6176024566410522E-4</v>
      </c>
      <c r="AJ14">
        <f t="shared" si="26"/>
        <v>12.03790794138331</v>
      </c>
      <c r="AK14">
        <f t="shared" si="25"/>
        <v>0</v>
      </c>
      <c r="AM14" s="18">
        <v>1012.2534931987193</v>
      </c>
      <c r="AN14" s="20">
        <f t="shared" si="12"/>
        <v>0</v>
      </c>
    </row>
    <row r="15" spans="1:40" x14ac:dyDescent="0.3">
      <c r="A15" s="9" t="s">
        <v>103</v>
      </c>
      <c r="B15" s="6" t="s">
        <v>42</v>
      </c>
      <c r="C15" s="6">
        <v>-41.324408936099999</v>
      </c>
      <c r="D15" s="6">
        <v>1753822.1089999999</v>
      </c>
      <c r="E15" s="6">
        <v>5423499.6069999998</v>
      </c>
      <c r="F15" s="6">
        <v>2.0510000000000002</v>
      </c>
      <c r="G15" s="9">
        <v>15.43</v>
      </c>
      <c r="H15">
        <v>3773.67</v>
      </c>
      <c r="I15">
        <v>3773.67</v>
      </c>
      <c r="J15">
        <v>3773.67</v>
      </c>
      <c r="K15" s="8">
        <f t="shared" si="18"/>
        <v>3773.67</v>
      </c>
      <c r="L15">
        <v>3700</v>
      </c>
      <c r="M15" s="12">
        <v>1.05488</v>
      </c>
      <c r="N15" s="12">
        <v>3899.6</v>
      </c>
      <c r="O15">
        <f t="shared" si="2"/>
        <v>73.670000000000073</v>
      </c>
      <c r="P15">
        <f t="shared" si="19"/>
        <v>3977.3130096</v>
      </c>
      <c r="R15" s="20">
        <f t="shared" si="20"/>
        <v>3941.2630095999998</v>
      </c>
      <c r="S15" s="20">
        <f t="shared" si="21"/>
        <v>3938.014772</v>
      </c>
      <c r="T15">
        <f t="shared" si="22"/>
        <v>980310.20823760005</v>
      </c>
      <c r="W15" s="12"/>
      <c r="X15" s="12"/>
      <c r="Z15">
        <f t="shared" si="15"/>
        <v>-0.63375900000000007</v>
      </c>
      <c r="AA15">
        <f t="shared" si="23"/>
        <v>980298.58075078973</v>
      </c>
      <c r="AB15">
        <f t="shared" si="16"/>
        <v>0.19507676300000001</v>
      </c>
      <c r="AC15">
        <v>0.65120199999999995</v>
      </c>
      <c r="AD15">
        <f t="shared" si="17"/>
        <v>980297.49086655281</v>
      </c>
      <c r="AE15">
        <f t="shared" si="24"/>
        <v>12.717371047241613</v>
      </c>
      <c r="AG15" s="6">
        <v>1111.4748486275098</v>
      </c>
      <c r="AH15" s="18"/>
      <c r="AI15">
        <f t="shared" si="9"/>
        <v>6.6176024566410522E-4</v>
      </c>
      <c r="AJ15">
        <f t="shared" si="26"/>
        <v>11.969841782482995</v>
      </c>
      <c r="AK15">
        <f t="shared" si="25"/>
        <v>0.74752926475861869</v>
      </c>
      <c r="AM15" s="18">
        <v>1111.4748486275098</v>
      </c>
      <c r="AN15" s="20">
        <f t="shared" si="12"/>
        <v>0.74752926475861869</v>
      </c>
    </row>
    <row r="16" spans="1:40" x14ac:dyDescent="0.3">
      <c r="A16" s="9" t="s">
        <v>98</v>
      </c>
      <c r="B16" s="6" t="s">
        <v>42</v>
      </c>
      <c r="C16" s="6">
        <v>-41.326144283300003</v>
      </c>
      <c r="D16" s="6">
        <v>1753782.933</v>
      </c>
      <c r="E16" s="6">
        <v>5423600.8039999995</v>
      </c>
      <c r="F16" s="6">
        <v>2.48</v>
      </c>
      <c r="G16" s="9">
        <v>15.67</v>
      </c>
      <c r="H16">
        <v>3774.45</v>
      </c>
      <c r="I16">
        <v>3774.44</v>
      </c>
      <c r="J16">
        <v>3774.44</v>
      </c>
      <c r="K16" s="8">
        <f t="shared" si="18"/>
        <v>3774.4433333333332</v>
      </c>
      <c r="L16">
        <v>3700</v>
      </c>
      <c r="M16" s="12">
        <v>1.05488</v>
      </c>
      <c r="N16" s="12">
        <v>3899.6</v>
      </c>
      <c r="O16">
        <f t="shared" si="2"/>
        <v>74.443333333333157</v>
      </c>
      <c r="P16">
        <f>N16+(O16*M16)</f>
        <v>3978.1287834666664</v>
      </c>
      <c r="R16" s="20">
        <f>P16-36.05</f>
        <v>3942.0787834666662</v>
      </c>
      <c r="S16" s="20">
        <f t="shared" si="21"/>
        <v>3938.0196679999999</v>
      </c>
      <c r="T16">
        <f t="shared" si="22"/>
        <v>980311.01911546662</v>
      </c>
      <c r="W16" s="12"/>
      <c r="X16" s="12"/>
      <c r="Z16">
        <f t="shared" si="15"/>
        <v>-0.76632</v>
      </c>
      <c r="AA16">
        <f t="shared" si="23"/>
        <v>980298.73603165592</v>
      </c>
      <c r="AB16">
        <f>0.0419*2.27*F16</f>
        <v>0.23588024000000002</v>
      </c>
      <c r="AC16">
        <v>1.049776</v>
      </c>
      <c r="AD16">
        <f t="shared" si="17"/>
        <v>980297.15581589588</v>
      </c>
      <c r="AE16">
        <f>T16-AD16</f>
        <v>13.863299570744857</v>
      </c>
      <c r="AG16" s="6">
        <v>1012.2534931987193</v>
      </c>
      <c r="AH16" s="18"/>
      <c r="AI16">
        <f t="shared" si="9"/>
        <v>6.6176024566410522E-4</v>
      </c>
      <c r="AJ16">
        <f>$AE$7+(AI16*AG16)</f>
        <v>11.904181033939313</v>
      </c>
      <c r="AK16">
        <f t="shared" si="25"/>
        <v>1.9591185368055442</v>
      </c>
      <c r="AM16" s="18">
        <v>1214.3310708715762</v>
      </c>
      <c r="AN16" s="20">
        <f t="shared" si="12"/>
        <v>1.9591185368055442</v>
      </c>
    </row>
    <row r="17" spans="1:40" x14ac:dyDescent="0.3">
      <c r="A17" s="9" t="s">
        <v>90</v>
      </c>
      <c r="B17" s="6" t="s">
        <v>42</v>
      </c>
      <c r="C17" s="6">
        <v>-41.321339572200003</v>
      </c>
      <c r="D17" s="6">
        <v>1753441.665</v>
      </c>
      <c r="E17" s="6">
        <v>5423948.9479999999</v>
      </c>
      <c r="F17" s="6">
        <v>1.9550000000000001</v>
      </c>
      <c r="G17" s="9">
        <v>16.28</v>
      </c>
      <c r="H17">
        <v>3770.65</v>
      </c>
      <c r="I17">
        <v>3770.66</v>
      </c>
      <c r="J17">
        <v>3770.65</v>
      </c>
      <c r="K17" s="8">
        <f>AVERAGE(H17:J17)</f>
        <v>3770.6533333333332</v>
      </c>
      <c r="L17">
        <v>3700</v>
      </c>
      <c r="M17" s="12">
        <v>1.05488</v>
      </c>
      <c r="N17" s="12">
        <v>3899.6</v>
      </c>
      <c r="O17">
        <f t="shared" si="2"/>
        <v>70.653333333333194</v>
      </c>
      <c r="P17">
        <f t="shared" si="19"/>
        <v>3974.1307882666665</v>
      </c>
      <c r="R17" s="20">
        <f t="shared" si="20"/>
        <v>3938.0807882666663</v>
      </c>
      <c r="S17" s="20">
        <f t="shared" si="21"/>
        <v>3938.0321119999999</v>
      </c>
      <c r="T17">
        <f t="shared" si="22"/>
        <v>980307.00867626665</v>
      </c>
      <c r="W17" s="12"/>
      <c r="X17" s="12"/>
      <c r="Z17">
        <f t="shared" si="15"/>
        <v>-0.60409500000000005</v>
      </c>
      <c r="AA17">
        <f t="shared" si="23"/>
        <v>980298.30610364617</v>
      </c>
      <c r="AB17">
        <f t="shared" si="16"/>
        <v>0.18594591500000002</v>
      </c>
      <c r="AD17">
        <f t="shared" ref="AD17" si="27">AA17+Z17+AB17-AC17</f>
        <v>980297.88795456116</v>
      </c>
      <c r="AE17">
        <f t="shared" si="24"/>
        <v>9.1207217054907233</v>
      </c>
      <c r="AN17" s="6"/>
    </row>
    <row r="18" spans="1:40" x14ac:dyDescent="0.3">
      <c r="G18" s="9"/>
      <c r="H18" s="8"/>
      <c r="I18" s="8"/>
      <c r="J18" s="8"/>
      <c r="K18" s="8"/>
    </row>
    <row r="19" spans="1:40" x14ac:dyDescent="0.3">
      <c r="A19" s="6" t="s">
        <v>84</v>
      </c>
      <c r="B19" s="6" t="s">
        <v>42</v>
      </c>
      <c r="G19" s="6">
        <v>12.2333</v>
      </c>
      <c r="H19" s="6">
        <v>3736.28</v>
      </c>
      <c r="I19" s="6">
        <v>3736.28</v>
      </c>
      <c r="J19" s="6">
        <v>3736.28</v>
      </c>
      <c r="K19">
        <v>3736.28</v>
      </c>
      <c r="L19">
        <v>3700</v>
      </c>
      <c r="M19">
        <v>1.0133000000000001</v>
      </c>
      <c r="N19" s="12">
        <v>3899.6</v>
      </c>
      <c r="O19">
        <f>K19-L19</f>
        <v>36.2800000000002</v>
      </c>
      <c r="P19" s="21">
        <v>3937.9976320000001</v>
      </c>
      <c r="W19" s="12"/>
      <c r="X19" s="12"/>
    </row>
    <row r="20" spans="1:40" x14ac:dyDescent="0.3">
      <c r="A20" s="6" t="s">
        <v>84</v>
      </c>
      <c r="B20" s="6" t="s">
        <v>42</v>
      </c>
      <c r="G20" s="6">
        <v>17.372199999999999</v>
      </c>
      <c r="H20" s="6">
        <v>3736.45</v>
      </c>
      <c r="I20" s="6">
        <v>3736.45</v>
      </c>
      <c r="J20" s="6">
        <v>3736.45</v>
      </c>
      <c r="K20">
        <v>3736.4499999999994</v>
      </c>
      <c r="L20">
        <v>3700</v>
      </c>
      <c r="M20">
        <v>1.0133000000000001</v>
      </c>
      <c r="N20" s="12">
        <v>3899.6</v>
      </c>
      <c r="O20">
        <f t="shared" ref="O20:O21" si="28">K20-L20</f>
        <v>36.449999999999363</v>
      </c>
      <c r="P20" s="21">
        <v>3938.1031199999998</v>
      </c>
      <c r="W20" s="12"/>
      <c r="X20" s="12"/>
    </row>
    <row r="21" spans="1:40" x14ac:dyDescent="0.3">
      <c r="A21" s="6" t="s">
        <v>84</v>
      </c>
      <c r="B21" s="6" t="s">
        <v>33</v>
      </c>
      <c r="G21" s="6">
        <v>12.3611</v>
      </c>
      <c r="H21" s="6">
        <v>3837.4</v>
      </c>
      <c r="I21" s="6">
        <v>3837.41</v>
      </c>
      <c r="J21" s="6">
        <v>3837.41</v>
      </c>
      <c r="K21">
        <v>3837.4066666666663</v>
      </c>
      <c r="L21">
        <v>3800</v>
      </c>
      <c r="M21" s="12">
        <v>1.05488</v>
      </c>
      <c r="N21">
        <v>3847.18</v>
      </c>
      <c r="O21">
        <f t="shared" si="28"/>
        <v>37.406666666666297</v>
      </c>
      <c r="P21">
        <v>3885.1959999999999</v>
      </c>
      <c r="W21" s="12"/>
      <c r="X21" s="12"/>
    </row>
    <row r="22" spans="1:40" x14ac:dyDescent="0.3">
      <c r="A22" s="6" t="s">
        <v>84</v>
      </c>
      <c r="B22" s="6" t="s">
        <v>33</v>
      </c>
      <c r="G22" s="6">
        <v>17.527699999999999</v>
      </c>
      <c r="H22" s="6">
        <v>3837.64</v>
      </c>
      <c r="I22" s="6">
        <v>3837.65</v>
      </c>
      <c r="J22" s="6">
        <v>3837.65</v>
      </c>
      <c r="K22">
        <v>3837.646666666667</v>
      </c>
      <c r="L22">
        <v>3800</v>
      </c>
      <c r="M22" s="12">
        <v>1.05488</v>
      </c>
      <c r="N22">
        <v>3847.18</v>
      </c>
      <c r="O22">
        <f>K22-L22</f>
        <v>37.646666666666988</v>
      </c>
      <c r="P22">
        <v>3885.283457666666</v>
      </c>
      <c r="W22" s="12"/>
      <c r="X22" s="12"/>
    </row>
    <row r="28" spans="1:40" x14ac:dyDescent="0.3">
      <c r="A28" t="s">
        <v>164</v>
      </c>
    </row>
    <row r="29" spans="1:40" x14ac:dyDescent="0.3">
      <c r="A29">
        <v>2.2351999999999999</v>
      </c>
      <c r="B29">
        <f>ATAN(A29)</f>
        <v>1.1501172817851697</v>
      </c>
      <c r="C29">
        <v>179</v>
      </c>
      <c r="AD29" s="14">
        <f>13+(53/60)</f>
        <v>13.883333333333333</v>
      </c>
      <c r="AE29" s="14">
        <f>13+(55/60)</f>
        <v>13.916666666666666</v>
      </c>
      <c r="AF29" s="14">
        <f>13+(57/60)</f>
        <v>13.95</v>
      </c>
      <c r="AG29">
        <f>AVERAGE(AD29,AE29,AF29)</f>
        <v>13.916666666666666</v>
      </c>
    </row>
    <row r="30" spans="1:40" x14ac:dyDescent="0.3">
      <c r="A30">
        <v>5.21E-2</v>
      </c>
      <c r="B30">
        <f>ATAN(A30)</f>
        <v>5.2052936372576589E-2</v>
      </c>
      <c r="C30">
        <v>519</v>
      </c>
      <c r="AD30">
        <v>3.54</v>
      </c>
      <c r="AE30">
        <v>4.13</v>
      </c>
      <c r="AF30">
        <v>4.1500000000000004</v>
      </c>
      <c r="AG30">
        <f t="shared" ref="AG30:AG35" si="29">AVERAGE(AD30,AE30,AF30)</f>
        <v>3.94</v>
      </c>
    </row>
    <row r="31" spans="1:40" x14ac:dyDescent="0.3">
      <c r="AD31">
        <v>2.13</v>
      </c>
      <c r="AE31">
        <v>2.1800000000000002</v>
      </c>
      <c r="AF31">
        <v>2.21</v>
      </c>
      <c r="AG31">
        <f t="shared" si="29"/>
        <v>2.1733333333333333</v>
      </c>
    </row>
    <row r="32" spans="1:40" x14ac:dyDescent="0.3">
      <c r="AD32">
        <v>2.39</v>
      </c>
      <c r="AE32">
        <v>2.42</v>
      </c>
      <c r="AF32">
        <v>2.44</v>
      </c>
      <c r="AG32">
        <f t="shared" si="29"/>
        <v>2.4166666666666665</v>
      </c>
    </row>
    <row r="33" spans="5:33" x14ac:dyDescent="0.3">
      <c r="AD33">
        <v>3</v>
      </c>
      <c r="AE33">
        <v>3.05</v>
      </c>
      <c r="AF33">
        <v>3.07</v>
      </c>
      <c r="AG33">
        <f t="shared" si="29"/>
        <v>3.0399999999999996</v>
      </c>
    </row>
    <row r="34" spans="5:33" x14ac:dyDescent="0.3">
      <c r="AD34">
        <v>3.18</v>
      </c>
      <c r="AE34">
        <v>3.2</v>
      </c>
      <c r="AF34">
        <v>3.22</v>
      </c>
      <c r="AG34">
        <f t="shared" si="29"/>
        <v>3.2000000000000006</v>
      </c>
    </row>
    <row r="35" spans="5:33" x14ac:dyDescent="0.3">
      <c r="AD35">
        <f>16+(20/60)</f>
        <v>16.333333333333332</v>
      </c>
      <c r="AE35">
        <f>16+(21/60)</f>
        <v>16.350000000000001</v>
      </c>
      <c r="AF35">
        <f>16+(22/60)</f>
        <v>16.366666666666667</v>
      </c>
      <c r="AG35">
        <f t="shared" si="29"/>
        <v>16.350000000000001</v>
      </c>
    </row>
    <row r="39" spans="5:33" x14ac:dyDescent="0.3">
      <c r="AF39">
        <f>ATAN(-0.9998)</f>
        <v>-0.78529815339678166</v>
      </c>
    </row>
    <row r="41" spans="5:33" x14ac:dyDescent="0.3">
      <c r="E41">
        <v>-0.99829999999999997</v>
      </c>
      <c r="F41">
        <f>ABS(E41)</f>
        <v>0.99829999999999997</v>
      </c>
      <c r="G41">
        <f>ATAN(F41)</f>
        <v>0.78454744048803193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7" sqref="D7"/>
    </sheetView>
  </sheetViews>
  <sheetFormatPr defaultRowHeight="14.4" x14ac:dyDescent="0.3"/>
  <sheetData>
    <row r="1" spans="1:7" x14ac:dyDescent="0.3">
      <c r="B1" t="s">
        <v>24</v>
      </c>
      <c r="C1" t="s">
        <v>25</v>
      </c>
      <c r="D1" t="s">
        <v>169</v>
      </c>
      <c r="E1" t="s">
        <v>170</v>
      </c>
      <c r="F1" t="s">
        <v>171</v>
      </c>
      <c r="G1" t="s">
        <v>172</v>
      </c>
    </row>
    <row r="2" spans="1:7" x14ac:dyDescent="0.3">
      <c r="A2" t="s">
        <v>31</v>
      </c>
      <c r="B2" s="18">
        <v>1753442.7520000001</v>
      </c>
      <c r="C2" s="18">
        <v>5423950.2039999999</v>
      </c>
      <c r="D2" s="6">
        <f>B2-$B$7</f>
        <v>388.59000000008382</v>
      </c>
      <c r="E2" s="6">
        <f>C2-$C$7</f>
        <v>-353.34999999962747</v>
      </c>
      <c r="F2" s="6">
        <f t="shared" ref="F2:F7" si="0">D2*COS($G$19)-E2*SIN($G$19)</f>
        <v>524.6518140757114</v>
      </c>
      <c r="G2" s="6">
        <f t="shared" ref="G2:G7" si="1">D2*SIN($G$19)+E2*COS($G$19)</f>
        <v>24.472118561069152</v>
      </c>
    </row>
    <row r="3" spans="1:7" x14ac:dyDescent="0.3">
      <c r="A3" t="s">
        <v>34</v>
      </c>
      <c r="B3" s="18">
        <v>1753331.0319999999</v>
      </c>
      <c r="C3" s="18">
        <v>5424037.5760000004</v>
      </c>
      <c r="D3" s="18">
        <f t="shared" ref="D3:D6" si="2">B3-$B$7</f>
        <v>276.86999999987893</v>
      </c>
      <c r="E3" s="18">
        <f t="shared" ref="E3:E6" si="3">C3-$C$7</f>
        <v>-265.97799999918789</v>
      </c>
      <c r="F3" s="6">
        <f t="shared" si="0"/>
        <v>383.85791515350223</v>
      </c>
      <c r="G3" s="6">
        <f t="shared" si="1"/>
        <v>7.3752530470242448</v>
      </c>
    </row>
    <row r="4" spans="1:7" x14ac:dyDescent="0.3">
      <c r="A4" t="s">
        <v>35</v>
      </c>
      <c r="B4" s="18">
        <v>1753262.57</v>
      </c>
      <c r="C4" s="18">
        <v>5424090.8490000004</v>
      </c>
      <c r="D4" s="18">
        <f t="shared" si="2"/>
        <v>208.40800000005402</v>
      </c>
      <c r="E4" s="18">
        <f>C4-$C$7</f>
        <v>-212.70499999914318</v>
      </c>
      <c r="F4" s="6">
        <f t="shared" si="0"/>
        <v>297.76916532374923</v>
      </c>
      <c r="G4" s="6">
        <f t="shared" si="1"/>
        <v>-3.2917580493885623</v>
      </c>
    </row>
    <row r="5" spans="1:7" x14ac:dyDescent="0.3">
      <c r="A5" t="s">
        <v>36</v>
      </c>
      <c r="B5" s="18">
        <v>1753181.808</v>
      </c>
      <c r="C5" s="18">
        <v>5424156.0769999996</v>
      </c>
      <c r="D5" s="18">
        <f t="shared" si="2"/>
        <v>127.64599999994971</v>
      </c>
      <c r="E5" s="18">
        <f t="shared" si="3"/>
        <v>-147.4769999999553</v>
      </c>
      <c r="F5" s="6">
        <f>D5*COS($G$19)-E5*SIN($G$19)</f>
        <v>194.52933918762696</v>
      </c>
      <c r="G5" s="6">
        <f t="shared" si="1"/>
        <v>-14.188130257336852</v>
      </c>
    </row>
    <row r="6" spans="1:7" x14ac:dyDescent="0.3">
      <c r="A6" t="s">
        <v>37</v>
      </c>
      <c r="B6" s="18">
        <v>1753116.223</v>
      </c>
      <c r="C6" s="18">
        <v>5424210.4869999997</v>
      </c>
      <c r="D6" s="18">
        <f t="shared" si="2"/>
        <v>62.060999999986961</v>
      </c>
      <c r="E6" s="18">
        <f t="shared" si="3"/>
        <v>-93.066999999806285</v>
      </c>
      <c r="F6" s="6">
        <f>D6*COS($G$19)-E6*SIN($G$19)</f>
        <v>109.67336934092988</v>
      </c>
      <c r="G6" s="6">
        <f t="shared" si="1"/>
        <v>-22.017862461426823</v>
      </c>
    </row>
    <row r="7" spans="1:7" x14ac:dyDescent="0.3">
      <c r="A7" t="s">
        <v>38</v>
      </c>
      <c r="B7" s="18">
        <v>1753054.162</v>
      </c>
      <c r="C7" s="18">
        <v>5424303.5539999995</v>
      </c>
      <c r="D7" s="18">
        <f>B7-$B$7</f>
        <v>0</v>
      </c>
      <c r="E7" s="18">
        <f>C7-$C$7</f>
        <v>0</v>
      </c>
      <c r="F7" s="6">
        <f t="shared" si="0"/>
        <v>0</v>
      </c>
      <c r="G7" s="6">
        <f t="shared" si="1"/>
        <v>0</v>
      </c>
    </row>
    <row r="8" spans="1:7" x14ac:dyDescent="0.3">
      <c r="B8" s="18"/>
      <c r="C8" s="18"/>
      <c r="D8" s="18"/>
      <c r="E8" s="18"/>
      <c r="F8" s="6"/>
      <c r="G8" s="6"/>
    </row>
    <row r="9" spans="1:7" x14ac:dyDescent="0.3">
      <c r="A9" s="17" t="s">
        <v>124</v>
      </c>
      <c r="B9" s="18">
        <v>1753441.665</v>
      </c>
      <c r="C9" s="18">
        <v>5423948.9479999999</v>
      </c>
      <c r="D9" s="18">
        <f>B9-$B$7</f>
        <v>387.50300000002608</v>
      </c>
      <c r="E9" s="18">
        <f>C9-$C$7</f>
        <v>-354.60599999967963</v>
      </c>
      <c r="F9" s="6">
        <f>D9*COS($G$19)-E9*SIN($G$19)</f>
        <v>524.76990564246364</v>
      </c>
      <c r="G9" s="6">
        <f t="shared" ref="G9:G15" si="4">D9*SIN($G$19)+E9*COS($G$19)</f>
        <v>22.815266309925846</v>
      </c>
    </row>
    <row r="10" spans="1:7" x14ac:dyDescent="0.3">
      <c r="A10" s="17" t="s">
        <v>119</v>
      </c>
      <c r="B10" s="18">
        <v>1753564.6869999999</v>
      </c>
      <c r="C10" s="18">
        <v>5423810.9280000003</v>
      </c>
      <c r="D10" s="18">
        <f t="shared" ref="D10:D15" si="5">B10-$B$7</f>
        <v>510.52499999990687</v>
      </c>
      <c r="E10" s="18">
        <f t="shared" ref="E10:E15" si="6">C10-$C$7</f>
        <v>-492.62599999923259</v>
      </c>
      <c r="F10" s="18">
        <f t="shared" ref="F10:F15" si="7">D10*COS($G$19)-E10*SIN($G$19)</f>
        <v>709.34538514704013</v>
      </c>
      <c r="G10" s="18">
        <f t="shared" si="4"/>
        <v>12.053052341465616</v>
      </c>
    </row>
    <row r="11" spans="1:7" x14ac:dyDescent="0.3">
      <c r="A11" s="17" t="s">
        <v>113</v>
      </c>
      <c r="B11" s="18">
        <v>1753636.713</v>
      </c>
      <c r="C11" s="18">
        <v>5423757.3789999997</v>
      </c>
      <c r="D11" s="18">
        <f t="shared" si="5"/>
        <v>582.55099999997765</v>
      </c>
      <c r="E11" s="18">
        <f t="shared" si="6"/>
        <v>-546.17499999981374</v>
      </c>
      <c r="F11" s="18">
        <f t="shared" si="7"/>
        <v>798.15140193706884</v>
      </c>
      <c r="G11" s="18">
        <f t="shared" si="4"/>
        <v>25.042719733726415</v>
      </c>
    </row>
    <row r="12" spans="1:7" x14ac:dyDescent="0.3">
      <c r="A12" s="17" t="s">
        <v>107</v>
      </c>
      <c r="B12" s="18">
        <v>1753720.622</v>
      </c>
      <c r="C12" s="18">
        <v>5423700.9610000001</v>
      </c>
      <c r="D12" s="18">
        <f t="shared" si="5"/>
        <v>666.45999999996275</v>
      </c>
      <c r="E12" s="18">
        <f t="shared" si="6"/>
        <v>-602.5929999994114</v>
      </c>
      <c r="F12" s="18">
        <f t="shared" si="7"/>
        <v>897.3940765762253</v>
      </c>
      <c r="G12" s="18">
        <f t="shared" si="4"/>
        <v>44.397371252641733</v>
      </c>
    </row>
    <row r="13" spans="1:7" x14ac:dyDescent="0.3">
      <c r="A13" s="17" t="s">
        <v>103</v>
      </c>
      <c r="B13" s="18">
        <v>1753874.12</v>
      </c>
      <c r="C13" s="18">
        <v>5423406.1220000004</v>
      </c>
      <c r="D13" s="18">
        <f t="shared" si="5"/>
        <v>819.95800000010058</v>
      </c>
      <c r="E13" s="18">
        <f t="shared" si="6"/>
        <v>-897.43199999909848</v>
      </c>
      <c r="F13" s="18">
        <f t="shared" si="7"/>
        <v>1214.3310708715762</v>
      </c>
      <c r="G13" s="18">
        <f t="shared" si="4"/>
        <v>-55.815470099584331</v>
      </c>
    </row>
    <row r="14" spans="1:7" x14ac:dyDescent="0.3">
      <c r="A14" s="17" t="s">
        <v>98</v>
      </c>
      <c r="B14" s="18">
        <v>1753822.1089999999</v>
      </c>
      <c r="C14" s="18">
        <v>5423499.6069999998</v>
      </c>
      <c r="D14" s="18">
        <f t="shared" si="5"/>
        <v>767.94699999992736</v>
      </c>
      <c r="E14" s="18">
        <f t="shared" si="6"/>
        <v>-803.94699999969453</v>
      </c>
      <c r="F14" s="18">
        <f t="shared" si="7"/>
        <v>1111.4748486275098</v>
      </c>
      <c r="G14" s="18">
        <f t="shared" si="4"/>
        <v>-26.401410679202854</v>
      </c>
    </row>
    <row r="15" spans="1:7" x14ac:dyDescent="0.3">
      <c r="A15" s="17" t="s">
        <v>90</v>
      </c>
      <c r="B15" s="18">
        <v>1753782.933</v>
      </c>
      <c r="C15" s="18">
        <v>5423600.8039999995</v>
      </c>
      <c r="D15" s="18">
        <f t="shared" si="5"/>
        <v>728.77099999994971</v>
      </c>
      <c r="E15" s="18">
        <f t="shared" si="6"/>
        <v>-702.75</v>
      </c>
      <c r="F15" s="18">
        <f t="shared" si="7"/>
        <v>1012.2534931987193</v>
      </c>
      <c r="G15" s="18">
        <f t="shared" si="4"/>
        <v>17.538484766850388</v>
      </c>
    </row>
    <row r="16" spans="1:7" x14ac:dyDescent="0.3">
      <c r="B16" s="6"/>
      <c r="C16" s="6"/>
      <c r="D16" s="6"/>
      <c r="E16" s="6"/>
      <c r="F16" s="6"/>
      <c r="G16" s="6"/>
    </row>
    <row r="17" spans="4:7" x14ac:dyDescent="0.3">
      <c r="D17" s="6"/>
      <c r="E17" s="6"/>
      <c r="F17" s="6"/>
      <c r="G17" s="6"/>
    </row>
    <row r="19" spans="4:7" x14ac:dyDescent="0.3">
      <c r="G19">
        <f>ATAN(ABS(-0.9983))</f>
        <v>0.78454744048803193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L2" sqref="L2:L16"/>
    </sheetView>
  </sheetViews>
  <sheetFormatPr defaultRowHeight="14.4" x14ac:dyDescent="0.3"/>
  <cols>
    <col min="1" max="1" width="27.33203125" customWidth="1"/>
    <col min="2" max="2" width="30" customWidth="1"/>
    <col min="3" max="3" width="24.109375" customWidth="1"/>
    <col min="4" max="4" width="26.109375" customWidth="1"/>
    <col min="5" max="5" width="18.33203125" customWidth="1"/>
    <col min="6" max="6" width="20.33203125" customWidth="1"/>
    <col min="7" max="7" width="20.109375" customWidth="1"/>
    <col min="8" max="8" width="17" customWidth="1"/>
    <col min="10" max="10" width="22" customWidth="1"/>
    <col min="11" max="11" width="19.6640625" customWidth="1"/>
    <col min="15" max="15" width="11" customWidth="1"/>
    <col min="16" max="16" width="10.88671875" customWidth="1"/>
    <col min="17" max="17" width="10.44140625" customWidth="1"/>
  </cols>
  <sheetData>
    <row r="1" spans="1:13" x14ac:dyDescent="0.3">
      <c r="B1" t="s">
        <v>15</v>
      </c>
      <c r="C1" t="s">
        <v>16</v>
      </c>
      <c r="D1" t="s">
        <v>17</v>
      </c>
      <c r="F1" t="s">
        <v>156</v>
      </c>
      <c r="G1" t="s">
        <v>157</v>
      </c>
      <c r="H1" t="s">
        <v>20</v>
      </c>
      <c r="J1" s="15" t="s">
        <v>136</v>
      </c>
      <c r="K1" t="s">
        <v>158</v>
      </c>
      <c r="M1" t="s">
        <v>149</v>
      </c>
    </row>
    <row r="2" spans="1:13" x14ac:dyDescent="0.3">
      <c r="A2" t="s">
        <v>33</v>
      </c>
      <c r="B2" t="s">
        <v>150</v>
      </c>
      <c r="C2" t="s">
        <v>86</v>
      </c>
      <c r="D2" t="s">
        <v>86</v>
      </c>
      <c r="F2">
        <v>0</v>
      </c>
      <c r="G2">
        <v>0</v>
      </c>
      <c r="H2">
        <v>0</v>
      </c>
      <c r="J2">
        <v>0.35281200000000001</v>
      </c>
      <c r="K2">
        <v>0.35398499999999999</v>
      </c>
      <c r="L2">
        <f>F2+G2+H2+J2+K2</f>
        <v>0.70679700000000001</v>
      </c>
    </row>
    <row r="3" spans="1:13" x14ac:dyDescent="0.3">
      <c r="A3" t="s">
        <v>33</v>
      </c>
      <c r="B3" t="s">
        <v>150</v>
      </c>
      <c r="C3" t="s">
        <v>86</v>
      </c>
      <c r="D3" t="s">
        <v>86</v>
      </c>
      <c r="F3">
        <v>0</v>
      </c>
      <c r="G3">
        <v>0</v>
      </c>
      <c r="H3">
        <v>0</v>
      </c>
      <c r="J3">
        <v>0.37706600000000001</v>
      </c>
      <c r="K3">
        <v>0.37864999999999999</v>
      </c>
      <c r="L3">
        <f t="shared" ref="L3:L16" si="0">F3+G3+H3+J3+K3</f>
        <v>0.75571600000000005</v>
      </c>
    </row>
    <row r="4" spans="1:13" x14ac:dyDescent="0.3">
      <c r="A4" t="s">
        <v>33</v>
      </c>
      <c r="B4" t="s">
        <v>150</v>
      </c>
      <c r="C4" t="s">
        <v>86</v>
      </c>
      <c r="D4" t="s">
        <v>86</v>
      </c>
      <c r="F4">
        <v>0</v>
      </c>
      <c r="G4">
        <v>0</v>
      </c>
      <c r="H4">
        <v>0</v>
      </c>
      <c r="J4">
        <v>0.40816799999999998</v>
      </c>
      <c r="K4">
        <v>0.41286400000000001</v>
      </c>
      <c r="L4">
        <f t="shared" si="0"/>
        <v>0.82103199999999998</v>
      </c>
    </row>
    <row r="5" spans="1:13" x14ac:dyDescent="0.3">
      <c r="A5" t="s">
        <v>33</v>
      </c>
      <c r="B5" t="s">
        <v>150</v>
      </c>
      <c r="C5" t="s">
        <v>86</v>
      </c>
      <c r="D5" t="s">
        <v>86</v>
      </c>
      <c r="F5">
        <v>0</v>
      </c>
      <c r="G5">
        <v>0</v>
      </c>
      <c r="H5">
        <v>0</v>
      </c>
      <c r="J5">
        <v>0.47292099999999998</v>
      </c>
      <c r="K5">
        <v>0.48314299999999999</v>
      </c>
      <c r="L5">
        <f t="shared" si="0"/>
        <v>0.95606400000000002</v>
      </c>
    </row>
    <row r="6" spans="1:13" x14ac:dyDescent="0.3">
      <c r="A6" t="s">
        <v>33</v>
      </c>
      <c r="B6" t="s">
        <v>150</v>
      </c>
      <c r="C6" t="s">
        <v>86</v>
      </c>
      <c r="D6" t="s">
        <v>151</v>
      </c>
      <c r="F6">
        <v>0</v>
      </c>
      <c r="G6">
        <v>0</v>
      </c>
      <c r="H6">
        <v>0</v>
      </c>
      <c r="J6">
        <v>0.59262400000000004</v>
      </c>
      <c r="K6">
        <v>0.63922100000000004</v>
      </c>
      <c r="L6">
        <f t="shared" si="0"/>
        <v>1.2318450000000001</v>
      </c>
    </row>
    <row r="7" spans="1:13" x14ac:dyDescent="0.3">
      <c r="A7" t="s">
        <v>33</v>
      </c>
      <c r="B7" t="s">
        <v>152</v>
      </c>
      <c r="C7" t="s">
        <v>115</v>
      </c>
      <c r="D7" t="s">
        <v>153</v>
      </c>
      <c r="F7">
        <f>0.01*4</f>
        <v>0.04</v>
      </c>
      <c r="G7">
        <v>0</v>
      </c>
      <c r="H7">
        <f>0.01*5</f>
        <v>0.05</v>
      </c>
      <c r="J7">
        <v>0.67437800000000003</v>
      </c>
      <c r="K7">
        <v>0.76480599999999999</v>
      </c>
      <c r="L7">
        <f t="shared" si="0"/>
        <v>1.5291839999999999</v>
      </c>
    </row>
    <row r="8" spans="1:13" x14ac:dyDescent="0.3">
      <c r="A8" t="s">
        <v>33</v>
      </c>
      <c r="B8" t="s">
        <v>152</v>
      </c>
      <c r="C8" t="s">
        <v>154</v>
      </c>
      <c r="D8" t="s">
        <v>155</v>
      </c>
      <c r="F8">
        <v>0.04</v>
      </c>
      <c r="G8">
        <v>0</v>
      </c>
      <c r="H8">
        <f>0.01*(1+4+7)</f>
        <v>0.12</v>
      </c>
      <c r="J8">
        <v>0.36468</v>
      </c>
      <c r="K8">
        <v>0.36575000000000002</v>
      </c>
      <c r="L8">
        <f t="shared" si="0"/>
        <v>0.89043000000000005</v>
      </c>
    </row>
    <row r="10" spans="1:13" x14ac:dyDescent="0.3">
      <c r="A10" t="s">
        <v>42</v>
      </c>
      <c r="B10" t="s">
        <v>88</v>
      </c>
      <c r="C10" t="s">
        <v>87</v>
      </c>
      <c r="D10" t="s">
        <v>86</v>
      </c>
      <c r="F10">
        <v>0</v>
      </c>
      <c r="G10">
        <v>0</v>
      </c>
      <c r="H10">
        <v>0</v>
      </c>
      <c r="J10">
        <v>0.35253699999999999</v>
      </c>
      <c r="K10">
        <v>0.35350599999999999</v>
      </c>
      <c r="L10">
        <f t="shared" si="0"/>
        <v>0.70604299999999998</v>
      </c>
    </row>
    <row r="11" spans="1:13" x14ac:dyDescent="0.3">
      <c r="A11" t="s">
        <v>42</v>
      </c>
      <c r="B11" t="s">
        <v>122</v>
      </c>
      <c r="C11" t="s">
        <v>121</v>
      </c>
      <c r="D11" t="s">
        <v>121</v>
      </c>
      <c r="F11">
        <v>0</v>
      </c>
      <c r="G11">
        <v>0</v>
      </c>
      <c r="H11">
        <v>0</v>
      </c>
      <c r="J11">
        <v>0.32923000000000002</v>
      </c>
      <c r="K11">
        <v>0.33094899999999999</v>
      </c>
      <c r="L11">
        <f t="shared" si="0"/>
        <v>0.66017900000000007</v>
      </c>
    </row>
    <row r="12" spans="1:13" x14ac:dyDescent="0.3">
      <c r="A12" t="s">
        <v>42</v>
      </c>
      <c r="B12" t="s">
        <v>117</v>
      </c>
      <c r="C12" t="s">
        <v>116</v>
      </c>
      <c r="D12" t="s">
        <v>115</v>
      </c>
      <c r="F12">
        <v>0</v>
      </c>
      <c r="G12">
        <v>0</v>
      </c>
      <c r="H12">
        <v>0</v>
      </c>
      <c r="J12">
        <v>0.32065900000000003</v>
      </c>
      <c r="K12">
        <v>0.32179099999999999</v>
      </c>
      <c r="L12">
        <f t="shared" si="0"/>
        <v>0.64244999999999997</v>
      </c>
    </row>
    <row r="13" spans="1:13" x14ac:dyDescent="0.3">
      <c r="A13" t="s">
        <v>42</v>
      </c>
      <c r="B13" t="s">
        <v>111</v>
      </c>
      <c r="C13" t="s">
        <v>110</v>
      </c>
      <c r="D13" t="s">
        <v>109</v>
      </c>
      <c r="F13">
        <v>0</v>
      </c>
      <c r="G13">
        <v>0</v>
      </c>
      <c r="H13">
        <v>0</v>
      </c>
      <c r="J13">
        <v>0.31990800000000003</v>
      </c>
      <c r="K13">
        <v>0.32098399999999999</v>
      </c>
      <c r="L13">
        <f t="shared" si="0"/>
        <v>0.64089200000000002</v>
      </c>
    </row>
    <row r="14" spans="1:13" x14ac:dyDescent="0.3">
      <c r="A14" t="s">
        <v>42</v>
      </c>
      <c r="B14" t="s">
        <v>105</v>
      </c>
      <c r="C14" t="s">
        <v>101</v>
      </c>
      <c r="D14" t="s">
        <v>100</v>
      </c>
      <c r="F14">
        <v>0.02</v>
      </c>
      <c r="G14">
        <v>0</v>
      </c>
      <c r="H14">
        <v>0</v>
      </c>
      <c r="J14">
        <v>0.32345800000000002</v>
      </c>
      <c r="K14">
        <v>0.32633200000000001</v>
      </c>
      <c r="L14">
        <f t="shared" si="0"/>
        <v>0.66979000000000011</v>
      </c>
    </row>
    <row r="15" spans="1:13" x14ac:dyDescent="0.3">
      <c r="A15" t="s">
        <v>42</v>
      </c>
      <c r="B15" t="s">
        <v>102</v>
      </c>
      <c r="C15" t="s">
        <v>101</v>
      </c>
      <c r="D15" t="s">
        <v>100</v>
      </c>
      <c r="F15">
        <v>0</v>
      </c>
      <c r="G15">
        <v>0</v>
      </c>
      <c r="H15">
        <v>0</v>
      </c>
      <c r="J15">
        <v>0.32357399999999997</v>
      </c>
      <c r="K15">
        <v>0.32762799999999997</v>
      </c>
      <c r="L15">
        <f t="shared" si="0"/>
        <v>0.65120199999999995</v>
      </c>
    </row>
    <row r="16" spans="1:13" x14ac:dyDescent="0.3">
      <c r="A16" t="s">
        <v>42</v>
      </c>
      <c r="B16" t="s">
        <v>96</v>
      </c>
      <c r="C16" t="s">
        <v>95</v>
      </c>
      <c r="D16" s="16" t="s">
        <v>95</v>
      </c>
      <c r="F16">
        <f>0.01*(10*2)</f>
        <v>0.2</v>
      </c>
      <c r="G16">
        <f>0.01*(4*3)</f>
        <v>0.12</v>
      </c>
      <c r="H16">
        <f>0.01*(1*3)</f>
        <v>0.03</v>
      </c>
      <c r="J16">
        <v>0.33394499999999999</v>
      </c>
      <c r="K16">
        <v>0.36583100000000002</v>
      </c>
      <c r="L16">
        <f t="shared" si="0"/>
        <v>1.049776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Accumulated</vt:lpstr>
      <vt:lpstr>Adjusting</vt:lpstr>
      <vt:lpstr>Anomalies</vt:lpstr>
      <vt:lpstr>Uncertainty</vt:lpstr>
      <vt:lpstr>Terrain Correction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Clarrie Macklin</dc:creator>
  <cp:lastModifiedBy>Yoyo2018</cp:lastModifiedBy>
  <dcterms:created xsi:type="dcterms:W3CDTF">2018-03-27T23:34:51Z</dcterms:created>
  <dcterms:modified xsi:type="dcterms:W3CDTF">2021-06-29T06:03:26Z</dcterms:modified>
</cp:coreProperties>
</file>