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_elhossary/Downloads/"/>
    </mc:Choice>
  </mc:AlternateContent>
  <xr:revisionPtr revIDLastSave="0" documentId="13_ncr:1_{9BEABEA7-E5AF-6B43-87C1-40356DA1A93F}" xr6:coauthVersionLast="47" xr6:coauthVersionMax="47" xr10:uidLastSave="{00000000-0000-0000-0000-000000000000}"/>
  <bookViews>
    <workbookView xWindow="0" yWindow="0" windowWidth="33600" windowHeight="21000" activeTab="2" xr2:uid="{D29A1BCD-5052-A448-B2FE-048F7E969179}"/>
  </bookViews>
  <sheets>
    <sheet name="Admin. Payroll" sheetId="6" r:id="rId1"/>
    <sheet name="Assumptions" sheetId="2" r:id="rId2"/>
    <sheet name="Income Statment" sheetId="1" r:id="rId3"/>
    <sheet name="CAPEX" sheetId="5" r:id="rId4"/>
    <sheet name="Balance Sheet" sheetId="3" r:id="rId5"/>
    <sheet name="Cash-Flow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" i="1" l="1"/>
  <c r="B39" i="1"/>
  <c r="E31" i="2"/>
  <c r="D31" i="2"/>
  <c r="C31" i="2"/>
  <c r="D23" i="1" s="1"/>
  <c r="B31" i="2"/>
  <c r="C23" i="1"/>
  <c r="D15" i="1"/>
  <c r="E15" i="1"/>
  <c r="F15" i="1"/>
  <c r="C15" i="1"/>
  <c r="D14" i="1"/>
  <c r="E14" i="1"/>
  <c r="F14" i="1"/>
  <c r="C14" i="1"/>
  <c r="B14" i="1"/>
  <c r="B13" i="1"/>
  <c r="D13" i="1"/>
  <c r="E13" i="1"/>
  <c r="F13" i="1"/>
  <c r="C13" i="1"/>
  <c r="F4" i="1"/>
  <c r="E4" i="1"/>
  <c r="C7" i="1"/>
  <c r="C5" i="1"/>
  <c r="B5" i="1"/>
  <c r="B4" i="1"/>
  <c r="C22" i="2"/>
  <c r="D22" i="2"/>
  <c r="E22" i="2"/>
  <c r="B22" i="2"/>
  <c r="G7" i="6"/>
  <c r="F7" i="6"/>
  <c r="E7" i="6"/>
  <c r="E23" i="1"/>
  <c r="G3" i="6"/>
  <c r="G9" i="6" s="1"/>
  <c r="E30" i="2" s="1"/>
  <c r="G6" i="6"/>
  <c r="G5" i="6"/>
  <c r="G4" i="6"/>
  <c r="F23" i="1"/>
  <c r="E9" i="6"/>
  <c r="C30" i="2" s="1"/>
  <c r="E6" i="6"/>
  <c r="F6" i="6"/>
  <c r="F5" i="6"/>
  <c r="E5" i="6"/>
  <c r="F4" i="6"/>
  <c r="F3" i="6"/>
  <c r="F9" i="6" s="1"/>
  <c r="D30" i="2" s="1"/>
  <c r="E3" i="6"/>
  <c r="D3" i="6"/>
  <c r="D9" i="6" s="1"/>
  <c r="B30" i="2" s="1"/>
  <c r="D4" i="6"/>
  <c r="E4" i="6"/>
  <c r="B12" i="2"/>
  <c r="C4" i="1" s="1"/>
  <c r="C12" i="2"/>
  <c r="D4" i="1" s="1"/>
  <c r="D12" i="2"/>
  <c r="E12" i="2"/>
  <c r="C13" i="2"/>
  <c r="D7" i="1" s="1"/>
  <c r="D13" i="2"/>
  <c r="E7" i="1" s="1"/>
  <c r="E13" i="2"/>
  <c r="F7" i="1" s="1"/>
  <c r="B13" i="2"/>
  <c r="D5" i="1" l="1"/>
  <c r="E5" i="1"/>
  <c r="F5" i="1"/>
  <c r="F8" i="1"/>
  <c r="D8" i="1"/>
  <c r="E8" i="1"/>
  <c r="C8" i="1"/>
  <c r="L19" i="4" l="1"/>
  <c r="K19" i="4"/>
  <c r="J19" i="4"/>
  <c r="I19" i="4"/>
  <c r="L18" i="4"/>
  <c r="L20" i="4" s="1"/>
  <c r="K18" i="4"/>
  <c r="J18" i="4"/>
  <c r="I18" i="4"/>
  <c r="L17" i="4"/>
  <c r="K17" i="4"/>
  <c r="J17" i="4"/>
  <c r="I17" i="4"/>
  <c r="L12" i="4"/>
  <c r="K12" i="4"/>
  <c r="J12" i="4"/>
  <c r="I12" i="4"/>
  <c r="L8" i="4"/>
  <c r="K8" i="4"/>
  <c r="J8" i="4"/>
  <c r="I8" i="4"/>
  <c r="L7" i="4"/>
  <c r="K7" i="4"/>
  <c r="J7" i="4"/>
  <c r="I7" i="4"/>
  <c r="L6" i="4"/>
  <c r="K6" i="4"/>
  <c r="J6" i="4"/>
  <c r="I6" i="4"/>
  <c r="L3" i="4"/>
  <c r="L9" i="4" s="1"/>
  <c r="L14" i="4" s="1"/>
  <c r="L22" i="4" s="1"/>
  <c r="K3" i="4"/>
  <c r="J3" i="4"/>
  <c r="I3" i="4"/>
  <c r="C48" i="2"/>
  <c r="D18" i="3" s="1"/>
  <c r="D48" i="2"/>
  <c r="E18" i="3" s="1"/>
  <c r="E48" i="2"/>
  <c r="F18" i="3" s="1"/>
  <c r="B49" i="2"/>
  <c r="C22" i="3" s="1"/>
  <c r="C18" i="4" s="1"/>
  <c r="B48" i="2"/>
  <c r="C18" i="3" s="1"/>
  <c r="F19" i="4"/>
  <c r="E19" i="4"/>
  <c r="D19" i="4"/>
  <c r="C19" i="4"/>
  <c r="E12" i="5"/>
  <c r="C12" i="5"/>
  <c r="F12" i="5" s="1"/>
  <c r="F11" i="5"/>
  <c r="E11" i="5"/>
  <c r="D11" i="5"/>
  <c r="C11" i="5"/>
  <c r="F10" i="5"/>
  <c r="E10" i="5"/>
  <c r="D10" i="5"/>
  <c r="C10" i="5"/>
  <c r="F7" i="5"/>
  <c r="F12" i="4" s="1"/>
  <c r="E7" i="5"/>
  <c r="E12" i="4" s="1"/>
  <c r="D7" i="5"/>
  <c r="D12" i="4" s="1"/>
  <c r="C7" i="5"/>
  <c r="C12" i="4" s="1"/>
  <c r="F22" i="1"/>
  <c r="E22" i="1"/>
  <c r="D22" i="1"/>
  <c r="C22" i="1"/>
  <c r="D45" i="2"/>
  <c r="E45" i="2" s="1"/>
  <c r="C42" i="2"/>
  <c r="D42" i="2" s="1"/>
  <c r="E32" i="2"/>
  <c r="F24" i="1" s="1"/>
  <c r="D32" i="2"/>
  <c r="E24" i="1" s="1"/>
  <c r="C32" i="2"/>
  <c r="D24" i="1" s="1"/>
  <c r="B32" i="2"/>
  <c r="C24" i="1" s="1"/>
  <c r="I20" i="4" l="1"/>
  <c r="J20" i="4"/>
  <c r="J9" i="4"/>
  <c r="J14" i="4" s="1"/>
  <c r="K9" i="4"/>
  <c r="K14" i="4" s="1"/>
  <c r="K20" i="4"/>
  <c r="I9" i="4"/>
  <c r="I14" i="4" s="1"/>
  <c r="D49" i="2"/>
  <c r="E22" i="3" s="1"/>
  <c r="C49" i="2"/>
  <c r="D22" i="3" s="1"/>
  <c r="D13" i="5"/>
  <c r="C13" i="5"/>
  <c r="E13" i="5"/>
  <c r="F13" i="5"/>
  <c r="E17" i="4"/>
  <c r="F17" i="4"/>
  <c r="E42" i="2"/>
  <c r="C17" i="4"/>
  <c r="C20" i="4" s="1"/>
  <c r="C31" i="1"/>
  <c r="D17" i="4"/>
  <c r="C9" i="3"/>
  <c r="C10" i="1"/>
  <c r="J22" i="4" l="1"/>
  <c r="I22" i="4"/>
  <c r="K22" i="4"/>
  <c r="C10" i="3"/>
  <c r="C11" i="3" s="1"/>
  <c r="D26" i="1"/>
  <c r="D6" i="4" s="1"/>
  <c r="E26" i="1"/>
  <c r="E6" i="4" s="1"/>
  <c r="D18" i="4"/>
  <c r="D20" i="4" s="1"/>
  <c r="F26" i="1"/>
  <c r="F6" i="4" s="1"/>
  <c r="E49" i="2"/>
  <c r="F22" i="3" s="1"/>
  <c r="D10" i="3"/>
  <c r="C26" i="1"/>
  <c r="C6" i="4" s="1"/>
  <c r="E10" i="3"/>
  <c r="F10" i="3" s="1"/>
  <c r="C16" i="1"/>
  <c r="C17" i="3" s="1"/>
  <c r="C20" i="3" s="1"/>
  <c r="C24" i="3" s="1"/>
  <c r="E18" i="4"/>
  <c r="E20" i="4" s="1"/>
  <c r="E31" i="1"/>
  <c r="D9" i="3"/>
  <c r="D31" i="1"/>
  <c r="C25" i="1"/>
  <c r="C27" i="1" s="1"/>
  <c r="C6" i="3"/>
  <c r="D6" i="3" l="1"/>
  <c r="D10" i="1"/>
  <c r="C18" i="1"/>
  <c r="F18" i="4"/>
  <c r="F20" i="4" s="1"/>
  <c r="F31" i="1"/>
  <c r="D25" i="1"/>
  <c r="D27" i="1" s="1"/>
  <c r="D16" i="1"/>
  <c r="D17" i="3" s="1"/>
  <c r="D8" i="4" s="1"/>
  <c r="C8" i="4"/>
  <c r="D7" i="4"/>
  <c r="C7" i="4"/>
  <c r="E9" i="3"/>
  <c r="D11" i="3"/>
  <c r="D18" i="1" l="1"/>
  <c r="E25" i="1"/>
  <c r="E27" i="1" s="1"/>
  <c r="E10" i="1"/>
  <c r="C29" i="1"/>
  <c r="C33" i="1" s="1"/>
  <c r="C35" i="1" s="1"/>
  <c r="C37" i="1" s="1"/>
  <c r="E16" i="1"/>
  <c r="E17" i="3" s="1"/>
  <c r="E20" i="3" s="1"/>
  <c r="E24" i="3" s="1"/>
  <c r="D19" i="1"/>
  <c r="E6" i="3"/>
  <c r="E7" i="4" s="1"/>
  <c r="D20" i="3"/>
  <c r="D24" i="3" s="1"/>
  <c r="C19" i="1"/>
  <c r="F9" i="3"/>
  <c r="F11" i="3" s="1"/>
  <c r="E11" i="3"/>
  <c r="E18" i="1" l="1"/>
  <c r="E29" i="1" s="1"/>
  <c r="E33" i="1" s="1"/>
  <c r="E35" i="1" s="1"/>
  <c r="E37" i="1" s="1"/>
  <c r="F25" i="1"/>
  <c r="F27" i="1" s="1"/>
  <c r="F10" i="1"/>
  <c r="E8" i="4"/>
  <c r="F16" i="1"/>
  <c r="F17" i="3" s="1"/>
  <c r="F20" i="3" s="1"/>
  <c r="F24" i="3" s="1"/>
  <c r="F6" i="3"/>
  <c r="F7" i="4" s="1"/>
  <c r="D29" i="1"/>
  <c r="D33" i="1" s="1"/>
  <c r="D35" i="1" s="1"/>
  <c r="D37" i="1" s="1"/>
  <c r="D3" i="4" s="1"/>
  <c r="D9" i="4" s="1"/>
  <c r="D14" i="4" s="1"/>
  <c r="D22" i="4" s="1"/>
  <c r="C29" i="3"/>
  <c r="C30" i="3" s="1"/>
  <c r="C3" i="4"/>
  <c r="F18" i="1" l="1"/>
  <c r="F29" i="1" s="1"/>
  <c r="F33" i="1" s="1"/>
  <c r="F35" i="1" s="1"/>
  <c r="F37" i="1" s="1"/>
  <c r="E19" i="1"/>
  <c r="F8" i="4"/>
  <c r="C9" i="4"/>
  <c r="C14" i="4" s="1"/>
  <c r="C22" i="4" s="1"/>
  <c r="C5" i="3" s="1"/>
  <c r="D29" i="3"/>
  <c r="D30" i="3" s="1"/>
  <c r="E29" i="3"/>
  <c r="E3" i="4"/>
  <c r="E9" i="4" s="1"/>
  <c r="E14" i="4" s="1"/>
  <c r="E22" i="4" s="1"/>
  <c r="C31" i="3"/>
  <c r="C33" i="3" s="1"/>
  <c r="F19" i="1" l="1"/>
  <c r="D5" i="3"/>
  <c r="E5" i="3" s="1"/>
  <c r="C7" i="3"/>
  <c r="C13" i="3" s="1"/>
  <c r="C35" i="3" s="1"/>
  <c r="F29" i="3"/>
  <c r="F3" i="4"/>
  <c r="F9" i="4" s="1"/>
  <c r="F14" i="4" s="1"/>
  <c r="F22" i="4" s="1"/>
  <c r="D31" i="3"/>
  <c r="D33" i="3" s="1"/>
  <c r="E30" i="3"/>
  <c r="D7" i="3" l="1"/>
  <c r="D13" i="3" s="1"/>
  <c r="D35" i="3" s="1"/>
  <c r="E31" i="3"/>
  <c r="E33" i="3" s="1"/>
  <c r="F30" i="3"/>
  <c r="F31" i="3" s="1"/>
  <c r="F33" i="3" s="1"/>
  <c r="F5" i="3"/>
  <c r="F7" i="3" s="1"/>
  <c r="F13" i="3" s="1"/>
  <c r="E7" i="3"/>
  <c r="E13" i="3" s="1"/>
  <c r="F35" i="3" l="1"/>
  <c r="E35" i="3"/>
</calcChain>
</file>

<file path=xl/sharedStrings.xml><?xml version="1.0" encoding="utf-8"?>
<sst xmlns="http://schemas.openxmlformats.org/spreadsheetml/2006/main" count="165" uniqueCount="122">
  <si>
    <t>Income Statement</t>
  </si>
  <si>
    <t>Year 1</t>
  </si>
  <si>
    <t>Year 2</t>
  </si>
  <si>
    <t>Year 3</t>
  </si>
  <si>
    <t>Year 4</t>
  </si>
  <si>
    <t>Cost of Goods Sold</t>
  </si>
  <si>
    <t>Customer Service</t>
  </si>
  <si>
    <t>Total Cost</t>
  </si>
  <si>
    <t>Gross Profit</t>
  </si>
  <si>
    <t>GP%</t>
  </si>
  <si>
    <t>Marketing</t>
  </si>
  <si>
    <t>Other Expenses</t>
  </si>
  <si>
    <t>Oprtating Expenses</t>
  </si>
  <si>
    <t>Total OPEX</t>
  </si>
  <si>
    <t>Operating Income</t>
  </si>
  <si>
    <t>Steps to build model</t>
  </si>
  <si>
    <t>Taxes</t>
  </si>
  <si>
    <t>Assumptions</t>
  </si>
  <si>
    <t>Orders from existing customers annual rate</t>
  </si>
  <si>
    <t>Average Order Value</t>
  </si>
  <si>
    <t>COGS (Per Order)</t>
  </si>
  <si>
    <t>Income Tax</t>
  </si>
  <si>
    <t>Net Income</t>
  </si>
  <si>
    <t>Depreciation</t>
  </si>
  <si>
    <t>Interest Expense</t>
  </si>
  <si>
    <t>Net Income Before Tax</t>
  </si>
  <si>
    <t>Capex &amp; Depreciation</t>
  </si>
  <si>
    <t>Useful Life (Years)</t>
  </si>
  <si>
    <t>Capex</t>
  </si>
  <si>
    <t>Total Capex</t>
  </si>
  <si>
    <t>Total D&amp;A</t>
  </si>
  <si>
    <t>Application (Capitalized Tech Cost)</t>
  </si>
  <si>
    <t>Balance Sheet</t>
  </si>
  <si>
    <t>ASSETS</t>
  </si>
  <si>
    <t xml:space="preserve">Cash </t>
  </si>
  <si>
    <t>Accounts Receivable</t>
  </si>
  <si>
    <t>Total Current Assets</t>
  </si>
  <si>
    <t>Fixed Assets</t>
  </si>
  <si>
    <t>Accumulated Depreciation</t>
  </si>
  <si>
    <t>Net Fixed Assets</t>
  </si>
  <si>
    <t>Total Assets</t>
  </si>
  <si>
    <t>LIABILITIES</t>
  </si>
  <si>
    <t>Accounts Payable</t>
  </si>
  <si>
    <t>Long Term Debt</t>
  </si>
  <si>
    <t>Total Liabilities</t>
  </si>
  <si>
    <t>EQUITY</t>
  </si>
  <si>
    <t>Common Stock</t>
  </si>
  <si>
    <t>Retained Earnings</t>
  </si>
  <si>
    <t>Total Shareholders Equity</t>
  </si>
  <si>
    <t>Liabilities &amp; Shareholders Equity</t>
  </si>
  <si>
    <t>Balance Check</t>
  </si>
  <si>
    <t>Accounts Receivable DOH</t>
  </si>
  <si>
    <t>Accounts Payable DOH</t>
  </si>
  <si>
    <t>Short Term Debt (CPLTD)</t>
  </si>
  <si>
    <t>Total Current Liabilities</t>
  </si>
  <si>
    <t>CPLTD 1</t>
  </si>
  <si>
    <t>LTD 1</t>
  </si>
  <si>
    <t>CPLTD 2</t>
  </si>
  <si>
    <t>LTD 2</t>
  </si>
  <si>
    <t>CPLTD Total</t>
  </si>
  <si>
    <t>LTD Total</t>
  </si>
  <si>
    <t>Cash Flow Statement</t>
  </si>
  <si>
    <t>Operating Activities</t>
  </si>
  <si>
    <t>Chg in AR</t>
  </si>
  <si>
    <t>Chg in AP</t>
  </si>
  <si>
    <t>Operating Cash Flow</t>
  </si>
  <si>
    <t>Investing Activities</t>
  </si>
  <si>
    <t>Free Cash Flow</t>
  </si>
  <si>
    <t>Financing Activities</t>
  </si>
  <si>
    <t>NCF from Financing</t>
  </si>
  <si>
    <t>Net Cash Flow</t>
  </si>
  <si>
    <t>CHG in STD</t>
  </si>
  <si>
    <t>CHG in LTD</t>
  </si>
  <si>
    <t>CHG in Equity</t>
  </si>
  <si>
    <t>Step 1: Reveue Plan</t>
  </si>
  <si>
    <t>Step 2: Cost of Sales</t>
  </si>
  <si>
    <t>Step 3: Operating Expenses</t>
  </si>
  <si>
    <t>Step 4: Profit Margin</t>
  </si>
  <si>
    <t>Step 6: CAPEX</t>
  </si>
  <si>
    <t>Step 8: Loan run-off</t>
  </si>
  <si>
    <t>Step 9: Equity Calculation</t>
  </si>
  <si>
    <t>Step 10: Cash generation from Cash-flow</t>
  </si>
  <si>
    <t>Step 5: Receviable Calculation (DOH*R/365)</t>
  </si>
  <si>
    <t>Step 7: A/P Calculation(DOH*COGS/365)</t>
  </si>
  <si>
    <t>NI-Opertaing need- Investing needs</t>
  </si>
  <si>
    <t>Chemicals</t>
  </si>
  <si>
    <t>Fuel</t>
  </si>
  <si>
    <t>Average Order Value of Washes</t>
  </si>
  <si>
    <t>Average Order Value from Workshops</t>
  </si>
  <si>
    <t>Tricycles</t>
  </si>
  <si>
    <t>Steamers</t>
  </si>
  <si>
    <t>Revenue from Washes</t>
  </si>
  <si>
    <t>Total Revenue</t>
  </si>
  <si>
    <t>Percentage of Workshops Orders</t>
  </si>
  <si>
    <t>Revenue from Workshops</t>
  </si>
  <si>
    <t>Admin. Payroll</t>
  </si>
  <si>
    <t>Employee Name</t>
  </si>
  <si>
    <t>Employee Title</t>
  </si>
  <si>
    <t>Founder &amp; CEO</t>
  </si>
  <si>
    <t>Youssef Elhossary</t>
  </si>
  <si>
    <t>General Manager</t>
  </si>
  <si>
    <t>Ahmed Alshamy</t>
  </si>
  <si>
    <t>Operational Manager</t>
  </si>
  <si>
    <t>-</t>
  </si>
  <si>
    <t>Marketing Manager</t>
  </si>
  <si>
    <t>Labor. Payroll</t>
  </si>
  <si>
    <t>Customer Service Manager</t>
  </si>
  <si>
    <t>Employee ID</t>
  </si>
  <si>
    <t>AD001</t>
  </si>
  <si>
    <t>AD002</t>
  </si>
  <si>
    <t>AD003</t>
  </si>
  <si>
    <t>AD004</t>
  </si>
  <si>
    <t>AD005</t>
  </si>
  <si>
    <t>Payment</t>
  </si>
  <si>
    <t>Total Per Year</t>
  </si>
  <si>
    <t>Model Phase</t>
  </si>
  <si>
    <r>
      <t xml:space="preserve">Number of </t>
    </r>
    <r>
      <rPr>
        <b/>
        <sz val="12"/>
        <color rgb="FF1212FF"/>
        <rFont val="Calibri (Body)"/>
      </rPr>
      <t>Washes</t>
    </r>
    <r>
      <rPr>
        <sz val="12"/>
        <color theme="1"/>
        <rFont val="Calibri"/>
        <family val="2"/>
        <scheme val="minor"/>
      </rPr>
      <t xml:space="preserve"> Per Day</t>
    </r>
  </si>
  <si>
    <r>
      <rPr>
        <b/>
        <sz val="12"/>
        <color theme="5" tint="-0.249977111117893"/>
        <rFont val="Calibri (Body)"/>
      </rPr>
      <t>Workshops</t>
    </r>
    <r>
      <rPr>
        <sz val="12"/>
        <color theme="1"/>
        <rFont val="Calibri"/>
        <family val="2"/>
        <scheme val="minor"/>
      </rPr>
      <t xml:space="preserve"> Registered</t>
    </r>
  </si>
  <si>
    <r>
      <rPr>
        <b/>
        <sz val="12"/>
        <color theme="5" tint="-0.249977111117893"/>
        <rFont val="Calibri (Body)"/>
      </rPr>
      <t>Workshops</t>
    </r>
    <r>
      <rPr>
        <sz val="12"/>
        <color theme="1"/>
        <rFont val="Calibri"/>
        <family val="2"/>
        <scheme val="minor"/>
      </rPr>
      <t xml:space="preserve"> Orders Per Day</t>
    </r>
  </si>
  <si>
    <r>
      <t xml:space="preserve">Orders from </t>
    </r>
    <r>
      <rPr>
        <b/>
        <sz val="12"/>
        <color theme="5" tint="-0.249977111117893"/>
        <rFont val="Calibri (Body)"/>
      </rPr>
      <t>Workshops</t>
    </r>
  </si>
  <si>
    <r>
      <t xml:space="preserve">Orders from </t>
    </r>
    <r>
      <rPr>
        <b/>
        <sz val="12"/>
        <color rgb="FF1212FF"/>
        <rFont val="Calibri (Body)"/>
      </rPr>
      <t>WashDrop</t>
    </r>
  </si>
  <si>
    <t>Number of Washee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</si>
</sst>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EGP&quot;* #,##0.00_);_(&quot;EGP&quot;* \(#,##0.00\);_(&quot;EGP&quot;* &quot;-&quot;??_);_(@_)"/>
    <numFmt numFmtId="43" formatCode="_(* #,##0.00_);_(* \(#,##0.00\);_(* &quot;-&quot;??_);_(@_)"/>
    <numFmt numFmtId="164" formatCode="&quot;EGP&quot;#,##0.00"/>
    <numFmt numFmtId="165" formatCode="_(* #,##0_);_(* \(#,##0\);_(* &quot;-&quot;??_);_(@_)"/>
    <numFmt numFmtId="166" formatCode="_(&quot;$&quot;* #,##0_);_(&quot;$&quot;* \(#,##0\);_(&quot;$&quot;* &quot;-&quot;??_);_(@_)"/>
    <numFmt numFmtId="167" formatCode="_(&quot;EGP&quot;* #,##0_);_(&quot;EGP&quot;* \(#,##0\);_(&quot;EGP&quot;* &quot;-&quot;??_);_(@_)"/>
    <numFmt numFmtId="168" formatCode="[$-2000401]0.00%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1212FF"/>
      <name val="Calibri (Body)"/>
    </font>
    <font>
      <b/>
      <sz val="12"/>
      <color theme="5" tint="-0.249977111117893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2667FF"/>
        <bgColor indexed="64"/>
      </patternFill>
    </fill>
    <fill>
      <patternFill patternType="solid">
        <fgColor rgb="FF75CBFB"/>
        <bgColor indexed="64"/>
      </patternFill>
    </fill>
    <fill>
      <patternFill patternType="solid">
        <fgColor rgb="FF99C9FB"/>
        <bgColor indexed="64"/>
      </patternFill>
    </fill>
    <fill>
      <patternFill patternType="solid">
        <fgColor rgb="FF1212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43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44" fontId="0" fillId="0" borderId="0" xfId="2" applyFont="1"/>
    <xf numFmtId="164" fontId="0" fillId="0" borderId="0" xfId="0" applyNumberFormat="1"/>
    <xf numFmtId="10" fontId="0" fillId="0" borderId="0" xfId="0" applyNumberFormat="1"/>
    <xf numFmtId="0" fontId="2" fillId="0" borderId="0" xfId="0" applyFont="1"/>
    <xf numFmtId="43" fontId="2" fillId="0" borderId="0" xfId="0" applyNumberFormat="1" applyFont="1"/>
    <xf numFmtId="44" fontId="2" fillId="0" borderId="0" xfId="2" applyFont="1"/>
    <xf numFmtId="44" fontId="0" fillId="0" borderId="0" xfId="0" applyNumberFormat="1"/>
    <xf numFmtId="44" fontId="2" fillId="0" borderId="0" xfId="0" applyNumberFormat="1" applyFont="1"/>
    <xf numFmtId="9" fontId="0" fillId="0" borderId="0" xfId="3" applyFont="1"/>
    <xf numFmtId="164" fontId="2" fillId="0" borderId="0" xfId="0" applyNumberFormat="1" applyFont="1"/>
    <xf numFmtId="0" fontId="2" fillId="2" borderId="0" xfId="0" applyFont="1" applyFill="1"/>
    <xf numFmtId="44" fontId="2" fillId="2" borderId="0" xfId="0" applyNumberFormat="1" applyFont="1" applyFill="1"/>
    <xf numFmtId="0" fontId="0" fillId="2" borderId="0" xfId="0" applyFill="1"/>
    <xf numFmtId="0" fontId="4" fillId="0" borderId="0" xfId="0" applyFont="1"/>
    <xf numFmtId="166" fontId="5" fillId="0" borderId="0" xfId="2" applyNumberFormat="1" applyFont="1"/>
    <xf numFmtId="166" fontId="5" fillId="0" borderId="1" xfId="2" applyNumberFormat="1" applyFont="1" applyBorder="1"/>
    <xf numFmtId="44" fontId="0" fillId="0" borderId="1" xfId="2" applyFont="1" applyBorder="1"/>
    <xf numFmtId="165" fontId="1" fillId="0" borderId="0" xfId="1" applyNumberFormat="1" applyFont="1"/>
    <xf numFmtId="44" fontId="1" fillId="0" borderId="0" xfId="2" applyFont="1"/>
    <xf numFmtId="44" fontId="1" fillId="0" borderId="1" xfId="2" applyFont="1" applyBorder="1"/>
    <xf numFmtId="0" fontId="3" fillId="0" borderId="0" xfId="0" applyFont="1"/>
    <xf numFmtId="167" fontId="0" fillId="0" borderId="0" xfId="0" applyNumberFormat="1"/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8" fontId="0" fillId="0" borderId="0" xfId="0" applyNumberFormat="1"/>
    <xf numFmtId="43" fontId="0" fillId="0" borderId="0" xfId="1" applyFont="1"/>
    <xf numFmtId="44" fontId="0" fillId="3" borderId="0" xfId="0" applyNumberFormat="1" applyFill="1"/>
    <xf numFmtId="44" fontId="2" fillId="3" borderId="0" xfId="0" applyNumberFormat="1" applyFont="1" applyFill="1"/>
    <xf numFmtId="0" fontId="2" fillId="0" borderId="0" xfId="0" applyFont="1" applyAlignment="1">
      <alignment horizontal="center" vertical="center"/>
    </xf>
    <xf numFmtId="2" fontId="0" fillId="0" borderId="0" xfId="1" applyNumberFormat="1" applyFont="1"/>
    <xf numFmtId="2" fontId="0" fillId="0" borderId="0" xfId="0" applyNumberFormat="1"/>
    <xf numFmtId="9" fontId="0" fillId="0" borderId="0" xfId="2" applyNumberFormat="1" applyFont="1"/>
    <xf numFmtId="10" fontId="0" fillId="0" borderId="0" xfId="2" applyNumberFormat="1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2" applyNumberFormat="1" applyFont="1"/>
    <xf numFmtId="0" fontId="2" fillId="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/>
    <xf numFmtId="0" fontId="2" fillId="5" borderId="0" xfId="0" applyFont="1" applyFill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7" fillId="5" borderId="8" xfId="0" applyFont="1" applyFill="1" applyBorder="1"/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1212FF"/>
      <color rgb="FF2667FF"/>
      <color rgb="FF99C9FB"/>
      <color rgb="FF75C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38D5-AEDB-754B-AC46-EE91DC4D072E}">
  <dimension ref="A1:G9"/>
  <sheetViews>
    <sheetView zoomScale="150" zoomScaleNormal="150" workbookViewId="0">
      <selection activeCell="F4" sqref="F4"/>
    </sheetView>
  </sheetViews>
  <sheetFormatPr baseColWidth="10" defaultRowHeight="16" x14ac:dyDescent="0.2"/>
  <cols>
    <col min="1" max="1" width="14.5" style="37" customWidth="1"/>
    <col min="2" max="2" width="22.6640625" style="37" customWidth="1"/>
    <col min="3" max="3" width="16.83203125" style="37" customWidth="1"/>
    <col min="4" max="4" width="19.1640625" style="37" customWidth="1"/>
    <col min="5" max="5" width="17.1640625" style="37" customWidth="1"/>
    <col min="6" max="6" width="16.6640625" style="37" customWidth="1"/>
    <col min="7" max="7" width="15.83203125" style="37" customWidth="1"/>
    <col min="8" max="16384" width="10.83203125" style="37"/>
  </cols>
  <sheetData>
    <row r="1" spans="1:7" ht="32" customHeight="1" x14ac:dyDescent="0.2">
      <c r="A1" s="59" t="s">
        <v>107</v>
      </c>
      <c r="B1" s="59" t="s">
        <v>97</v>
      </c>
      <c r="C1" s="59" t="s">
        <v>96</v>
      </c>
      <c r="D1" s="59" t="s">
        <v>113</v>
      </c>
      <c r="E1" s="59"/>
      <c r="F1" s="59"/>
      <c r="G1" s="59"/>
    </row>
    <row r="2" spans="1:7" x14ac:dyDescent="0.2">
      <c r="A2" s="59"/>
      <c r="B2" s="59"/>
      <c r="C2" s="59"/>
      <c r="D2" s="54" t="s">
        <v>1</v>
      </c>
      <c r="E2" s="54" t="s">
        <v>2</v>
      </c>
      <c r="F2" s="54" t="s">
        <v>3</v>
      </c>
      <c r="G2" s="54" t="s">
        <v>4</v>
      </c>
    </row>
    <row r="3" spans="1:7" ht="35" customHeight="1" x14ac:dyDescent="0.2">
      <c r="A3" s="37" t="s">
        <v>108</v>
      </c>
      <c r="B3" s="37" t="s">
        <v>98</v>
      </c>
      <c r="C3" s="37" t="s">
        <v>99</v>
      </c>
      <c r="D3" s="38">
        <f>15000*12</f>
        <v>180000</v>
      </c>
      <c r="E3" s="38">
        <f>20000*12</f>
        <v>240000</v>
      </c>
      <c r="F3" s="38">
        <f>50000*12</f>
        <v>600000</v>
      </c>
      <c r="G3" s="38">
        <f>50000*12</f>
        <v>600000</v>
      </c>
    </row>
    <row r="4" spans="1:7" ht="39" customHeight="1" x14ac:dyDescent="0.2">
      <c r="A4" s="37" t="s">
        <v>109</v>
      </c>
      <c r="B4" s="37" t="s">
        <v>100</v>
      </c>
      <c r="C4" s="37" t="s">
        <v>101</v>
      </c>
      <c r="D4" s="38">
        <f>8000*12</f>
        <v>96000</v>
      </c>
      <c r="E4" s="38">
        <f t="shared" ref="E4" si="0">10000*12</f>
        <v>120000</v>
      </c>
      <c r="F4" s="38">
        <f>15000*12</f>
        <v>180000</v>
      </c>
      <c r="G4" s="38">
        <f>15000*12</f>
        <v>180000</v>
      </c>
    </row>
    <row r="5" spans="1:7" ht="44" customHeight="1" x14ac:dyDescent="0.2">
      <c r="A5" s="37" t="s">
        <v>110</v>
      </c>
      <c r="B5" s="37" t="s">
        <v>102</v>
      </c>
      <c r="C5" s="37" t="s">
        <v>103</v>
      </c>
      <c r="D5" s="38">
        <v>0</v>
      </c>
      <c r="E5" s="38">
        <f>8000*12</f>
        <v>96000</v>
      </c>
      <c r="F5" s="38">
        <f t="shared" ref="F5:G7" si="1">10000*12</f>
        <v>120000</v>
      </c>
      <c r="G5" s="38">
        <f t="shared" si="1"/>
        <v>120000</v>
      </c>
    </row>
    <row r="6" spans="1:7" ht="48" customHeight="1" x14ac:dyDescent="0.2">
      <c r="A6" s="37" t="s">
        <v>111</v>
      </c>
      <c r="B6" s="37" t="s">
        <v>104</v>
      </c>
      <c r="C6" s="37" t="s">
        <v>103</v>
      </c>
      <c r="D6" s="38">
        <v>0</v>
      </c>
      <c r="E6" s="38">
        <f>8000*12</f>
        <v>96000</v>
      </c>
      <c r="F6" s="38">
        <f t="shared" si="1"/>
        <v>120000</v>
      </c>
      <c r="G6" s="38">
        <f t="shared" si="1"/>
        <v>120000</v>
      </c>
    </row>
    <row r="7" spans="1:7" ht="53" customHeight="1" thickBot="1" x14ac:dyDescent="0.25">
      <c r="A7" s="37" t="s">
        <v>112</v>
      </c>
      <c r="B7" s="37" t="s">
        <v>106</v>
      </c>
      <c r="C7" s="37" t="s">
        <v>103</v>
      </c>
      <c r="D7" s="38">
        <v>0</v>
      </c>
      <c r="E7" s="38">
        <f>8000*12</f>
        <v>96000</v>
      </c>
      <c r="F7" s="38">
        <f t="shared" si="1"/>
        <v>120000</v>
      </c>
      <c r="G7" s="38">
        <f t="shared" si="1"/>
        <v>120000</v>
      </c>
    </row>
    <row r="8" spans="1:7" ht="18" customHeight="1" x14ac:dyDescent="0.2">
      <c r="D8" s="56" t="s">
        <v>114</v>
      </c>
      <c r="E8" s="57"/>
      <c r="F8" s="57"/>
      <c r="G8" s="58"/>
    </row>
    <row r="9" spans="1:7" ht="17" thickBot="1" x14ac:dyDescent="0.25">
      <c r="D9" s="39">
        <f>D3+D4+D5+D6</f>
        <v>276000</v>
      </c>
      <c r="E9" s="40">
        <f t="shared" ref="E9:F9" si="2">E3+E4+E5+E6</f>
        <v>552000</v>
      </c>
      <c r="F9" s="40">
        <f t="shared" si="2"/>
        <v>1020000</v>
      </c>
      <c r="G9" s="41">
        <f t="shared" ref="G9" si="3">G3+G4+G5+G6</f>
        <v>1020000</v>
      </c>
    </row>
  </sheetData>
  <mergeCells count="5">
    <mergeCell ref="D8:G8"/>
    <mergeCell ref="B1:B2"/>
    <mergeCell ref="C1:C2"/>
    <mergeCell ref="A1:A2"/>
    <mergeCell ref="D1:G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E627-DAE0-814B-B8DE-2A18B481B1AF}">
  <dimension ref="A2:G52"/>
  <sheetViews>
    <sheetView zoomScale="130" zoomScaleNormal="130" workbookViewId="0">
      <selection activeCell="B6" sqref="B6:E6"/>
    </sheetView>
  </sheetViews>
  <sheetFormatPr baseColWidth="10" defaultRowHeight="16" x14ac:dyDescent="0.2"/>
  <cols>
    <col min="1" max="1" width="37.6640625" bestFit="1" customWidth="1"/>
    <col min="2" max="2" width="14.83203125" bestFit="1" customWidth="1"/>
    <col min="3" max="3" width="17" customWidth="1"/>
    <col min="4" max="4" width="17.6640625" customWidth="1"/>
    <col min="5" max="5" width="15.1640625" bestFit="1" customWidth="1"/>
  </cols>
  <sheetData>
    <row r="2" spans="1:5" x14ac:dyDescent="0.2">
      <c r="A2" s="60" t="s">
        <v>17</v>
      </c>
      <c r="B2" s="60"/>
      <c r="C2" s="60"/>
      <c r="D2" s="60"/>
      <c r="E2" s="60"/>
    </row>
    <row r="3" spans="1:5" x14ac:dyDescent="0.2">
      <c r="A3" s="47"/>
      <c r="B3" s="48" t="s">
        <v>1</v>
      </c>
      <c r="C3" s="48" t="s">
        <v>2</v>
      </c>
      <c r="D3" s="48" t="s">
        <v>3</v>
      </c>
      <c r="E3" s="48" t="s">
        <v>4</v>
      </c>
    </row>
    <row r="4" spans="1:5" x14ac:dyDescent="0.2">
      <c r="A4" t="s">
        <v>10</v>
      </c>
      <c r="B4" s="2">
        <v>80000</v>
      </c>
      <c r="C4" s="2">
        <v>100000</v>
      </c>
      <c r="D4" s="2">
        <v>250000</v>
      </c>
      <c r="E4" s="2">
        <v>300000</v>
      </c>
    </row>
    <row r="5" spans="1:5" x14ac:dyDescent="0.2">
      <c r="B5" s="2"/>
      <c r="C5" s="2"/>
      <c r="D5" s="2"/>
      <c r="E5" s="2"/>
    </row>
    <row r="6" spans="1:5" x14ac:dyDescent="0.2">
      <c r="A6" t="s">
        <v>121</v>
      </c>
      <c r="B6" s="33">
        <v>2</v>
      </c>
      <c r="C6" s="33">
        <v>12</v>
      </c>
      <c r="D6" s="33">
        <v>15</v>
      </c>
      <c r="E6" s="33">
        <v>35</v>
      </c>
    </row>
    <row r="7" spans="1:5" x14ac:dyDescent="0.2">
      <c r="A7" t="s">
        <v>116</v>
      </c>
      <c r="B7" s="33">
        <v>10</v>
      </c>
      <c r="C7" s="33">
        <v>10</v>
      </c>
      <c r="D7" s="33">
        <v>10</v>
      </c>
      <c r="E7" s="33">
        <v>10</v>
      </c>
    </row>
    <row r="8" spans="1:5" x14ac:dyDescent="0.2">
      <c r="A8" t="s">
        <v>117</v>
      </c>
      <c r="B8" s="34">
        <v>10</v>
      </c>
      <c r="C8" s="33">
        <v>20</v>
      </c>
      <c r="D8" s="33">
        <v>25</v>
      </c>
      <c r="E8" s="33">
        <v>35</v>
      </c>
    </row>
    <row r="9" spans="1:5" ht="17" customHeight="1" x14ac:dyDescent="0.2">
      <c r="A9" t="s">
        <v>118</v>
      </c>
      <c r="B9" s="34">
        <v>1</v>
      </c>
      <c r="C9" s="34">
        <v>2</v>
      </c>
      <c r="D9" s="34">
        <v>3</v>
      </c>
      <c r="E9" s="34">
        <v>4</v>
      </c>
    </row>
    <row r="10" spans="1:5" ht="17" customHeight="1" x14ac:dyDescent="0.2">
      <c r="B10" s="34"/>
      <c r="C10" s="34"/>
      <c r="D10" s="34"/>
      <c r="E10" s="34"/>
    </row>
    <row r="12" spans="1:5" x14ac:dyDescent="0.2">
      <c r="A12" t="s">
        <v>119</v>
      </c>
      <c r="B12" s="34">
        <f>B8*B9*200</f>
        <v>2000</v>
      </c>
      <c r="C12" s="34">
        <f>C8*C9*200</f>
        <v>8000</v>
      </c>
      <c r="D12" s="34">
        <f>D8*D9*200</f>
        <v>15000</v>
      </c>
      <c r="E12" s="34">
        <f>E8*E9*200</f>
        <v>28000</v>
      </c>
    </row>
    <row r="13" spans="1:5" x14ac:dyDescent="0.2">
      <c r="A13" t="s">
        <v>120</v>
      </c>
      <c r="B13" s="1">
        <f>B6*B7*350</f>
        <v>7000</v>
      </c>
      <c r="C13" s="1">
        <f>C6*C7*350</f>
        <v>42000</v>
      </c>
      <c r="D13" s="1">
        <f>D6*D7*350</f>
        <v>52500</v>
      </c>
      <c r="E13" s="1">
        <f>E6*E7*350</f>
        <v>122500</v>
      </c>
    </row>
    <row r="14" spans="1:5" x14ac:dyDescent="0.2">
      <c r="B14" s="1"/>
      <c r="C14" s="1"/>
      <c r="D14" s="1"/>
      <c r="E14" s="1"/>
    </row>
    <row r="16" spans="1:5" x14ac:dyDescent="0.2">
      <c r="A16" t="s">
        <v>18</v>
      </c>
      <c r="B16" s="3">
        <v>0.6</v>
      </c>
      <c r="C16" s="3">
        <v>0.6</v>
      </c>
      <c r="D16" s="3">
        <v>0.6</v>
      </c>
      <c r="E16" s="3">
        <v>0.6</v>
      </c>
    </row>
    <row r="17" spans="1:5" x14ac:dyDescent="0.2">
      <c r="B17" s="3"/>
      <c r="C17" s="3"/>
      <c r="D17" s="3"/>
      <c r="E17" s="3"/>
    </row>
    <row r="19" spans="1:5" x14ac:dyDescent="0.2">
      <c r="A19" t="s">
        <v>87</v>
      </c>
      <c r="B19" s="4">
        <v>200</v>
      </c>
      <c r="C19" s="4">
        <v>200</v>
      </c>
      <c r="D19" s="4">
        <v>200</v>
      </c>
      <c r="E19" s="4">
        <v>200</v>
      </c>
    </row>
    <row r="20" spans="1:5" x14ac:dyDescent="0.2">
      <c r="A20" t="s">
        <v>93</v>
      </c>
      <c r="B20" s="35">
        <v>0.1</v>
      </c>
      <c r="C20" s="35">
        <v>0.13</v>
      </c>
      <c r="D20" s="35">
        <v>0.13</v>
      </c>
      <c r="E20" s="36">
        <v>0.14499999999999999</v>
      </c>
    </row>
    <row r="21" spans="1:5" x14ac:dyDescent="0.2">
      <c r="A21" t="s">
        <v>19</v>
      </c>
      <c r="B21" s="42">
        <v>3000</v>
      </c>
      <c r="C21" s="42">
        <v>3000</v>
      </c>
      <c r="D21" s="42">
        <v>3000</v>
      </c>
      <c r="E21" s="42">
        <v>3000</v>
      </c>
    </row>
    <row r="22" spans="1:5" x14ac:dyDescent="0.2">
      <c r="A22" t="s">
        <v>88</v>
      </c>
      <c r="B22" s="4">
        <f>B21*B20</f>
        <v>300</v>
      </c>
      <c r="C22" s="4">
        <f t="shared" ref="C22:E22" si="0">C21*C20</f>
        <v>390</v>
      </c>
      <c r="D22" s="4">
        <f t="shared" si="0"/>
        <v>390</v>
      </c>
      <c r="E22" s="4">
        <f t="shared" si="0"/>
        <v>434.99999999999994</v>
      </c>
    </row>
    <row r="24" spans="1:5" x14ac:dyDescent="0.2">
      <c r="A24" t="s">
        <v>20</v>
      </c>
    </row>
    <row r="25" spans="1:5" x14ac:dyDescent="0.2">
      <c r="A25" t="s">
        <v>85</v>
      </c>
      <c r="B25" s="55">
        <v>6</v>
      </c>
      <c r="C25" s="55">
        <v>6</v>
      </c>
      <c r="D25" s="55">
        <v>6</v>
      </c>
      <c r="E25" s="55">
        <v>6</v>
      </c>
    </row>
    <row r="26" spans="1:5" x14ac:dyDescent="0.2">
      <c r="A26" t="s">
        <v>86</v>
      </c>
      <c r="B26" s="55">
        <v>4</v>
      </c>
      <c r="C26" s="55">
        <v>4</v>
      </c>
      <c r="D26" s="55">
        <v>4</v>
      </c>
      <c r="E26" s="55">
        <v>4</v>
      </c>
    </row>
    <row r="27" spans="1:5" x14ac:dyDescent="0.2">
      <c r="A27" t="s">
        <v>6</v>
      </c>
      <c r="B27" s="55">
        <v>0</v>
      </c>
      <c r="C27" s="55">
        <v>15</v>
      </c>
      <c r="D27" s="55">
        <v>20</v>
      </c>
      <c r="E27" s="55">
        <v>20</v>
      </c>
    </row>
    <row r="29" spans="1:5" x14ac:dyDescent="0.2">
      <c r="A29" t="s">
        <v>12</v>
      </c>
    </row>
    <row r="30" spans="1:5" x14ac:dyDescent="0.2">
      <c r="A30" t="s">
        <v>95</v>
      </c>
      <c r="B30" s="2">
        <f>'Admin. Payroll'!D9</f>
        <v>276000</v>
      </c>
      <c r="C30" s="2">
        <f>'Admin. Payroll'!E9</f>
        <v>552000</v>
      </c>
      <c r="D30" s="2">
        <f>'Admin. Payroll'!F9</f>
        <v>1020000</v>
      </c>
      <c r="E30" s="2">
        <f>'Admin. Payroll'!G9</f>
        <v>1020000</v>
      </c>
    </row>
    <row r="31" spans="1:5" x14ac:dyDescent="0.2">
      <c r="A31" t="s">
        <v>105</v>
      </c>
      <c r="B31" s="2">
        <f>10000*B6*12</f>
        <v>240000</v>
      </c>
      <c r="C31" s="2">
        <f>10000*C6*12</f>
        <v>1440000</v>
      </c>
      <c r="D31" s="2">
        <f>10000*D6*12</f>
        <v>1800000</v>
      </c>
      <c r="E31" s="2">
        <f>10000*E6*12</f>
        <v>4200000</v>
      </c>
    </row>
    <row r="32" spans="1:5" x14ac:dyDescent="0.2">
      <c r="A32" t="s">
        <v>10</v>
      </c>
      <c r="B32" s="5">
        <f>B4</f>
        <v>80000</v>
      </c>
      <c r="C32" s="5">
        <f>C4</f>
        <v>100000</v>
      </c>
      <c r="D32" s="5">
        <f>D4</f>
        <v>250000</v>
      </c>
      <c r="E32" s="5">
        <f>E4</f>
        <v>300000</v>
      </c>
    </row>
    <row r="33" spans="1:7" x14ac:dyDescent="0.2">
      <c r="A33" t="s">
        <v>11</v>
      </c>
      <c r="B33" s="3">
        <v>0.05</v>
      </c>
      <c r="C33" s="3">
        <v>0.05</v>
      </c>
      <c r="D33" s="3">
        <v>0.05</v>
      </c>
      <c r="E33" s="3">
        <v>0.05</v>
      </c>
    </row>
    <row r="35" spans="1:7" x14ac:dyDescent="0.2">
      <c r="A35" t="s">
        <v>21</v>
      </c>
      <c r="B35" s="6">
        <v>0.22500000000000001</v>
      </c>
      <c r="C35" s="6">
        <v>0.22500000000000001</v>
      </c>
      <c r="D35" s="6">
        <v>0.22500000000000001</v>
      </c>
      <c r="E35" s="6">
        <v>0.22500000000000001</v>
      </c>
    </row>
    <row r="38" spans="1:7" x14ac:dyDescent="0.2">
      <c r="A38" t="s">
        <v>51</v>
      </c>
      <c r="B38">
        <v>0</v>
      </c>
      <c r="C38">
        <v>0</v>
      </c>
      <c r="D38">
        <v>0</v>
      </c>
      <c r="E38">
        <v>0</v>
      </c>
    </row>
    <row r="39" spans="1:7" x14ac:dyDescent="0.2">
      <c r="A39" t="s">
        <v>52</v>
      </c>
      <c r="B39">
        <v>0</v>
      </c>
      <c r="C39">
        <v>0</v>
      </c>
      <c r="D39">
        <v>0</v>
      </c>
      <c r="E39">
        <v>0</v>
      </c>
    </row>
    <row r="41" spans="1:7" x14ac:dyDescent="0.2">
      <c r="A41" t="s">
        <v>55</v>
      </c>
      <c r="B41">
        <v>0</v>
      </c>
      <c r="C41">
        <v>0</v>
      </c>
      <c r="D41">
        <v>0</v>
      </c>
      <c r="E41">
        <v>0</v>
      </c>
      <c r="G41" s="3">
        <v>0.2</v>
      </c>
    </row>
    <row r="42" spans="1:7" x14ac:dyDescent="0.2">
      <c r="A42" t="s">
        <v>56</v>
      </c>
      <c r="B42">
        <v>0</v>
      </c>
      <c r="C42">
        <f>B42-C41</f>
        <v>0</v>
      </c>
      <c r="D42">
        <f>C42-D41</f>
        <v>0</v>
      </c>
      <c r="E42">
        <f>D42-E41</f>
        <v>0</v>
      </c>
      <c r="G42" s="28"/>
    </row>
    <row r="44" spans="1:7" x14ac:dyDescent="0.2">
      <c r="A44" t="s">
        <v>57</v>
      </c>
      <c r="C44">
        <v>0</v>
      </c>
      <c r="D44">
        <v>0</v>
      </c>
      <c r="E44">
        <v>0</v>
      </c>
    </row>
    <row r="45" spans="1:7" x14ac:dyDescent="0.2">
      <c r="A45" t="s">
        <v>58</v>
      </c>
      <c r="C45">
        <v>0</v>
      </c>
      <c r="D45">
        <f>C45-D44</f>
        <v>0</v>
      </c>
      <c r="E45">
        <f>D45-E44</f>
        <v>0</v>
      </c>
    </row>
    <row r="48" spans="1:7" x14ac:dyDescent="0.2">
      <c r="A48" t="s">
        <v>59</v>
      </c>
      <c r="B48" s="4">
        <f t="shared" ref="B48:E49" si="1">B41+B44</f>
        <v>0</v>
      </c>
      <c r="C48" s="4">
        <f t="shared" si="1"/>
        <v>0</v>
      </c>
      <c r="D48" s="4">
        <f t="shared" si="1"/>
        <v>0</v>
      </c>
      <c r="E48" s="4">
        <f t="shared" si="1"/>
        <v>0</v>
      </c>
    </row>
    <row r="49" spans="1:5" x14ac:dyDescent="0.2">
      <c r="A49" t="s">
        <v>60</v>
      </c>
      <c r="B49" s="4">
        <f t="shared" si="1"/>
        <v>0</v>
      </c>
      <c r="C49" s="4">
        <f t="shared" si="1"/>
        <v>0</v>
      </c>
      <c r="D49" s="4">
        <f t="shared" si="1"/>
        <v>0</v>
      </c>
      <c r="E49" s="4">
        <f t="shared" si="1"/>
        <v>0</v>
      </c>
    </row>
    <row r="52" spans="1:5" x14ac:dyDescent="0.2">
      <c r="A52" t="s">
        <v>46</v>
      </c>
      <c r="B52" s="4">
        <v>100000</v>
      </c>
      <c r="C52" s="4">
        <v>100000</v>
      </c>
      <c r="D52" s="4">
        <v>300000</v>
      </c>
      <c r="E52" s="4">
        <v>400000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25F0-E9E8-854A-922C-F9B164D1934D}">
  <dimension ref="B2:N41"/>
  <sheetViews>
    <sheetView tabSelected="1" zoomScale="150" zoomScaleNormal="1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1" sqref="B41"/>
    </sheetView>
  </sheetViews>
  <sheetFormatPr baseColWidth="10" defaultRowHeight="16" x14ac:dyDescent="0.2"/>
  <cols>
    <col min="2" max="2" width="22.6640625" customWidth="1"/>
    <col min="3" max="3" width="19.33203125" customWidth="1"/>
    <col min="4" max="4" width="17.6640625" customWidth="1"/>
    <col min="5" max="5" width="18" customWidth="1"/>
    <col min="6" max="6" width="17.6640625" customWidth="1"/>
    <col min="7" max="7" width="28.5" customWidth="1"/>
    <col min="13" max="13" width="28.5" customWidth="1"/>
  </cols>
  <sheetData>
    <row r="2" spans="2:14" x14ac:dyDescent="0.2">
      <c r="B2" s="48" t="s">
        <v>0</v>
      </c>
      <c r="C2" s="48" t="s">
        <v>1</v>
      </c>
      <c r="D2" s="48" t="s">
        <v>2</v>
      </c>
      <c r="E2" s="48" t="s">
        <v>3</v>
      </c>
      <c r="F2" s="48" t="s">
        <v>4</v>
      </c>
      <c r="G2" s="48" t="s">
        <v>115</v>
      </c>
      <c r="I2" s="44"/>
      <c r="J2" s="44"/>
      <c r="K2" s="44"/>
      <c r="L2" s="44"/>
      <c r="M2" s="44"/>
      <c r="N2" s="45"/>
    </row>
    <row r="3" spans="2:14" x14ac:dyDescent="0.2">
      <c r="G3" s="26"/>
      <c r="I3" s="45"/>
      <c r="J3" s="45"/>
      <c r="K3" s="45"/>
      <c r="L3" s="45"/>
      <c r="M3" s="44"/>
      <c r="N3" s="45"/>
    </row>
    <row r="4" spans="2:14" x14ac:dyDescent="0.2">
      <c r="B4" t="str">
        <f>Assumptions!A12</f>
        <v>Orders from Workshops</v>
      </c>
      <c r="C4" s="1">
        <f>Assumptions!B12</f>
        <v>2000</v>
      </c>
      <c r="D4" s="1">
        <f>Assumptions!C12</f>
        <v>8000</v>
      </c>
      <c r="E4" s="1">
        <f>Assumptions!D12</f>
        <v>15000</v>
      </c>
      <c r="F4" s="1">
        <f>Assumptions!E12</f>
        <v>28000</v>
      </c>
      <c r="G4" s="61" t="s">
        <v>74</v>
      </c>
      <c r="I4" s="45"/>
      <c r="J4" s="45"/>
      <c r="K4" s="45"/>
      <c r="L4" s="45"/>
      <c r="M4" s="46"/>
      <c r="N4" s="45"/>
    </row>
    <row r="5" spans="2:14" x14ac:dyDescent="0.2">
      <c r="B5" t="str">
        <f>Assumptions!A13</f>
        <v>Orders from WashDrop</v>
      </c>
      <c r="C5" s="1">
        <f>Assumptions!B13</f>
        <v>7000</v>
      </c>
      <c r="D5" s="1">
        <f>Assumptions!C13</f>
        <v>42000</v>
      </c>
      <c r="E5" s="1">
        <f>Assumptions!D13</f>
        <v>52500</v>
      </c>
      <c r="F5" s="1">
        <f>Assumptions!E13</f>
        <v>122500</v>
      </c>
      <c r="G5" s="61"/>
      <c r="I5" s="45"/>
      <c r="J5" s="45"/>
      <c r="K5" s="45"/>
      <c r="L5" s="45"/>
      <c r="M5" s="46"/>
      <c r="N5" s="45"/>
    </row>
    <row r="6" spans="2:14" x14ac:dyDescent="0.2">
      <c r="G6" s="61"/>
      <c r="I6" s="45"/>
      <c r="J6" s="45"/>
      <c r="K6" s="45"/>
      <c r="L6" s="45"/>
      <c r="M6" s="46"/>
      <c r="N6" s="45"/>
    </row>
    <row r="7" spans="2:14" x14ac:dyDescent="0.2">
      <c r="B7" s="7" t="s">
        <v>91</v>
      </c>
      <c r="C7" s="9">
        <f>Assumptions!B19*Assumptions!B13</f>
        <v>1400000</v>
      </c>
      <c r="D7" s="9">
        <f>Assumptions!C19*Assumptions!C13</f>
        <v>8400000</v>
      </c>
      <c r="E7" s="9">
        <f>Assumptions!D19*Assumptions!D13</f>
        <v>10500000</v>
      </c>
      <c r="F7" s="9">
        <f>Assumptions!E19*Assumptions!E13</f>
        <v>24500000</v>
      </c>
      <c r="G7" s="61"/>
      <c r="I7" s="45"/>
      <c r="J7" s="45"/>
      <c r="K7" s="45"/>
      <c r="L7" s="45"/>
      <c r="M7" s="46"/>
      <c r="N7" s="45"/>
    </row>
    <row r="8" spans="2:14" x14ac:dyDescent="0.2">
      <c r="B8" s="7" t="s">
        <v>94</v>
      </c>
      <c r="C8" s="9">
        <f>Assumptions!B22*Assumptions!B12</f>
        <v>600000</v>
      </c>
      <c r="D8" s="9">
        <f>Assumptions!C22*Assumptions!C12</f>
        <v>3120000</v>
      </c>
      <c r="E8" s="9">
        <f>Assumptions!D22*Assumptions!D12</f>
        <v>5850000</v>
      </c>
      <c r="F8" s="9">
        <f>Assumptions!E22*Assumptions!E12</f>
        <v>12179999.999999998</v>
      </c>
      <c r="G8" s="43"/>
      <c r="I8" s="45"/>
      <c r="J8" s="45"/>
      <c r="K8" s="45"/>
      <c r="L8" s="45"/>
      <c r="M8" s="44"/>
      <c r="N8" s="45"/>
    </row>
    <row r="9" spans="2:14" x14ac:dyDescent="0.2">
      <c r="B9" s="7"/>
      <c r="C9" s="9"/>
      <c r="D9" s="9"/>
      <c r="E9" s="9"/>
      <c r="F9" s="9"/>
      <c r="G9" s="43"/>
      <c r="I9" s="45"/>
      <c r="J9" s="45"/>
      <c r="K9" s="45"/>
      <c r="L9" s="45"/>
      <c r="M9" s="44"/>
      <c r="N9" s="45"/>
    </row>
    <row r="10" spans="2:14" x14ac:dyDescent="0.2">
      <c r="B10" s="7" t="s">
        <v>92</v>
      </c>
      <c r="C10" s="10">
        <f>C7+C8</f>
        <v>2000000</v>
      </c>
      <c r="D10" s="10">
        <f t="shared" ref="D10:F10" si="0">D7+D8</f>
        <v>11520000</v>
      </c>
      <c r="E10" s="10">
        <f t="shared" si="0"/>
        <v>16350000</v>
      </c>
      <c r="F10" s="10">
        <f t="shared" si="0"/>
        <v>36680000</v>
      </c>
      <c r="G10" s="26"/>
      <c r="I10" s="45"/>
      <c r="J10" s="45"/>
      <c r="K10" s="45"/>
      <c r="L10" s="45"/>
      <c r="M10" s="44"/>
      <c r="N10" s="45"/>
    </row>
    <row r="11" spans="2:14" x14ac:dyDescent="0.2">
      <c r="B11" s="7"/>
      <c r="G11" s="32"/>
      <c r="I11" s="45"/>
      <c r="J11" s="45"/>
      <c r="K11" s="45"/>
      <c r="L11" s="45"/>
      <c r="M11" s="44"/>
      <c r="N11" s="45"/>
    </row>
    <row r="12" spans="2:14" x14ac:dyDescent="0.2">
      <c r="B12" t="s">
        <v>5</v>
      </c>
      <c r="G12" s="62" t="s">
        <v>75</v>
      </c>
      <c r="I12" s="45"/>
      <c r="J12" s="45"/>
      <c r="K12" s="45"/>
      <c r="L12" s="45"/>
      <c r="M12" s="46"/>
      <c r="N12" s="45"/>
    </row>
    <row r="13" spans="2:14" x14ac:dyDescent="0.2">
      <c r="B13" t="str">
        <f>Assumptions!A25</f>
        <v>Chemicals</v>
      </c>
      <c r="C13" s="1">
        <f>(Assumptions!B25*Assumptions!B13)</f>
        <v>42000</v>
      </c>
      <c r="D13" s="1">
        <f>(Assumptions!C25*Assumptions!C13)</f>
        <v>252000</v>
      </c>
      <c r="E13" s="1">
        <f>(Assumptions!D25*Assumptions!D13)</f>
        <v>315000</v>
      </c>
      <c r="F13" s="1">
        <f>(Assumptions!E25*Assumptions!E13)</f>
        <v>735000</v>
      </c>
      <c r="G13" s="62"/>
      <c r="I13" s="45"/>
      <c r="J13" s="45"/>
      <c r="K13" s="45"/>
      <c r="L13" s="45"/>
      <c r="M13" s="46"/>
      <c r="N13" s="45"/>
    </row>
    <row r="14" spans="2:14" x14ac:dyDescent="0.2">
      <c r="B14" t="str">
        <f>Assumptions!A26</f>
        <v>Fuel</v>
      </c>
      <c r="C14" s="1">
        <f>Assumptions!B26*Assumptions!B13</f>
        <v>28000</v>
      </c>
      <c r="D14" s="1">
        <f>Assumptions!C26*Assumptions!C13</f>
        <v>168000</v>
      </c>
      <c r="E14" s="1">
        <f>Assumptions!D26*Assumptions!D13</f>
        <v>210000</v>
      </c>
      <c r="F14" s="1">
        <f>Assumptions!E26*Assumptions!E13</f>
        <v>490000</v>
      </c>
      <c r="G14" s="62"/>
      <c r="I14" s="45"/>
      <c r="J14" s="45"/>
      <c r="K14" s="45"/>
      <c r="L14" s="45"/>
      <c r="M14" s="46"/>
      <c r="N14" s="45"/>
    </row>
    <row r="15" spans="2:14" x14ac:dyDescent="0.2">
      <c r="B15" t="s">
        <v>6</v>
      </c>
      <c r="C15" s="1">
        <f>Assumptions!B27*Assumptions!B13</f>
        <v>0</v>
      </c>
      <c r="D15" s="1">
        <f>Assumptions!C27*Assumptions!C13</f>
        <v>630000</v>
      </c>
      <c r="E15" s="1">
        <f>Assumptions!D27*Assumptions!D13</f>
        <v>1050000</v>
      </c>
      <c r="F15" s="1">
        <f>Assumptions!E27*Assumptions!E13</f>
        <v>2450000</v>
      </c>
      <c r="G15" s="62"/>
      <c r="I15" s="45"/>
      <c r="J15" s="45"/>
      <c r="K15" s="45"/>
      <c r="L15" s="45"/>
      <c r="M15" s="46"/>
      <c r="N15" s="45"/>
    </row>
    <row r="16" spans="2:14" x14ac:dyDescent="0.2">
      <c r="B16" s="7" t="s">
        <v>7</v>
      </c>
      <c r="C16" s="8">
        <f>C13+C14+C15</f>
        <v>70000</v>
      </c>
      <c r="D16" s="8">
        <f>D13+D14+D15</f>
        <v>1050000</v>
      </c>
      <c r="E16" s="8">
        <f>E13+E14+E15</f>
        <v>1575000</v>
      </c>
      <c r="F16" s="8">
        <f>F13+F14+F15</f>
        <v>3675000</v>
      </c>
      <c r="G16" s="62"/>
      <c r="I16" s="45"/>
      <c r="J16" s="45"/>
      <c r="K16" s="45"/>
      <c r="L16" s="45"/>
      <c r="M16" s="46"/>
      <c r="N16" s="45"/>
    </row>
    <row r="17" spans="2:14" x14ac:dyDescent="0.2">
      <c r="G17" s="26"/>
      <c r="I17" s="45"/>
      <c r="J17" s="45"/>
      <c r="K17" s="45"/>
      <c r="L17" s="45"/>
      <c r="M17" s="44"/>
      <c r="N17" s="45"/>
    </row>
    <row r="18" spans="2:14" x14ac:dyDescent="0.2">
      <c r="B18" s="16" t="s">
        <v>8</v>
      </c>
      <c r="C18" s="15">
        <f>C10-C16</f>
        <v>1930000</v>
      </c>
      <c r="D18" s="15">
        <f t="shared" ref="D18:F18" si="1">D10-D16</f>
        <v>10470000</v>
      </c>
      <c r="E18" s="15">
        <f t="shared" si="1"/>
        <v>14775000</v>
      </c>
      <c r="F18" s="15">
        <f t="shared" si="1"/>
        <v>33005000</v>
      </c>
      <c r="G18" s="63"/>
      <c r="I18" s="45"/>
      <c r="J18" s="45"/>
      <c r="K18" s="45"/>
      <c r="L18" s="45"/>
      <c r="M18" s="46"/>
      <c r="N18" s="45"/>
    </row>
    <row r="19" spans="2:14" x14ac:dyDescent="0.2">
      <c r="B19" t="s">
        <v>9</v>
      </c>
      <c r="C19" s="12">
        <f>C18/C7</f>
        <v>1.3785714285714286</v>
      </c>
      <c r="D19" s="12">
        <f>D18/D7</f>
        <v>1.2464285714285714</v>
      </c>
      <c r="E19" s="12">
        <f>E18/E7</f>
        <v>1.4071428571428573</v>
      </c>
      <c r="F19" s="12">
        <f>F18/F7</f>
        <v>1.3471428571428572</v>
      </c>
      <c r="G19" s="63"/>
      <c r="I19" s="45"/>
      <c r="J19" s="45"/>
      <c r="K19" s="45"/>
      <c r="L19" s="45"/>
      <c r="M19" s="46"/>
      <c r="N19" s="45"/>
    </row>
    <row r="20" spans="2:14" x14ac:dyDescent="0.2">
      <c r="G20" s="26"/>
      <c r="I20" s="45"/>
      <c r="J20" s="45"/>
      <c r="K20" s="45"/>
      <c r="L20" s="45"/>
      <c r="M20" s="44"/>
      <c r="N20" s="45"/>
    </row>
    <row r="21" spans="2:14" x14ac:dyDescent="0.2">
      <c r="B21" t="s">
        <v>12</v>
      </c>
      <c r="G21" s="64" t="s">
        <v>76</v>
      </c>
      <c r="I21" s="45"/>
      <c r="J21" s="45"/>
      <c r="K21" s="45"/>
      <c r="L21" s="45"/>
      <c r="M21" s="46"/>
      <c r="N21" s="45"/>
    </row>
    <row r="22" spans="2:14" x14ac:dyDescent="0.2">
      <c r="B22" t="s">
        <v>95</v>
      </c>
      <c r="C22" s="2">
        <f>Assumptions!B30</f>
        <v>276000</v>
      </c>
      <c r="D22" s="2">
        <f>Assumptions!C30</f>
        <v>552000</v>
      </c>
      <c r="E22" s="2">
        <f>Assumptions!D30</f>
        <v>1020000</v>
      </c>
      <c r="F22" s="2">
        <f>Assumptions!E30</f>
        <v>1020000</v>
      </c>
      <c r="G22" s="64"/>
      <c r="I22" s="45"/>
      <c r="J22" s="45"/>
      <c r="K22" s="45"/>
      <c r="L22" s="45"/>
      <c r="M22" s="46"/>
      <c r="N22" s="45"/>
    </row>
    <row r="23" spans="2:14" x14ac:dyDescent="0.2">
      <c r="B23" t="s">
        <v>105</v>
      </c>
      <c r="C23" s="2">
        <f>Assumptions!B31</f>
        <v>240000</v>
      </c>
      <c r="D23" s="2">
        <f>Assumptions!C31</f>
        <v>1440000</v>
      </c>
      <c r="E23" s="2">
        <f>Assumptions!D31</f>
        <v>1800000</v>
      </c>
      <c r="F23" s="2">
        <f>Assumptions!E31</f>
        <v>4200000</v>
      </c>
      <c r="G23" s="64"/>
      <c r="I23" s="45"/>
      <c r="J23" s="45"/>
      <c r="K23" s="45"/>
      <c r="L23" s="45"/>
      <c r="M23" s="46"/>
      <c r="N23" s="45"/>
    </row>
    <row r="24" spans="2:14" x14ac:dyDescent="0.2">
      <c r="B24" t="s">
        <v>10</v>
      </c>
      <c r="C24" s="2">
        <f>Assumptions!B32</f>
        <v>80000</v>
      </c>
      <c r="D24" s="2">
        <f>Assumptions!C32</f>
        <v>100000</v>
      </c>
      <c r="E24" s="2">
        <f>Assumptions!D32</f>
        <v>250000</v>
      </c>
      <c r="F24" s="2">
        <f>Assumptions!E32</f>
        <v>300000</v>
      </c>
      <c r="G24" s="64"/>
      <c r="I24" s="45"/>
      <c r="J24" s="45"/>
      <c r="K24" s="45"/>
      <c r="L24" s="45"/>
      <c r="M24" s="46"/>
      <c r="N24" s="45"/>
    </row>
    <row r="25" spans="2:14" x14ac:dyDescent="0.2">
      <c r="B25" t="s">
        <v>11</v>
      </c>
      <c r="C25" s="10">
        <f>C7*Assumptions!B33</f>
        <v>70000</v>
      </c>
      <c r="D25" s="10">
        <f>D7*Assumptions!C33</f>
        <v>420000</v>
      </c>
      <c r="E25" s="10">
        <f>E7*Assumptions!D33</f>
        <v>525000</v>
      </c>
      <c r="F25" s="10">
        <f>F7*Assumptions!E33</f>
        <v>1225000</v>
      </c>
      <c r="G25" s="64"/>
      <c r="I25" s="45"/>
      <c r="J25" s="45"/>
      <c r="K25" s="45"/>
      <c r="L25" s="45"/>
      <c r="M25" s="46"/>
      <c r="N25" s="45"/>
    </row>
    <row r="26" spans="2:14" x14ac:dyDescent="0.2">
      <c r="B26" t="s">
        <v>23</v>
      </c>
      <c r="C26" s="30">
        <f>CAPEX!C13</f>
        <v>23883.333333333336</v>
      </c>
      <c r="D26" s="30">
        <f>CAPEX!D13</f>
        <v>15550</v>
      </c>
      <c r="E26" s="30">
        <f>CAPEX!E13</f>
        <v>15550</v>
      </c>
      <c r="F26" s="30">
        <f>CAPEX!F13</f>
        <v>19583.333333333336</v>
      </c>
      <c r="G26" s="64"/>
      <c r="I26" s="45"/>
      <c r="J26" s="45"/>
      <c r="K26" s="45"/>
      <c r="L26" s="45"/>
      <c r="M26" s="46"/>
      <c r="N26" s="45"/>
    </row>
    <row r="27" spans="2:14" x14ac:dyDescent="0.2">
      <c r="B27" t="s">
        <v>13</v>
      </c>
      <c r="C27" s="13">
        <f>C22+C23+C24+C25+C26</f>
        <v>689883.33333333337</v>
      </c>
      <c r="D27" s="13">
        <f t="shared" ref="D27:F27" si="2">D22+D23+D24+D25+D26</f>
        <v>2527550</v>
      </c>
      <c r="E27" s="13">
        <f t="shared" si="2"/>
        <v>3610550</v>
      </c>
      <c r="F27" s="13">
        <f t="shared" si="2"/>
        <v>6764583.333333333</v>
      </c>
      <c r="G27" s="64"/>
      <c r="I27" s="45"/>
      <c r="J27" s="45"/>
      <c r="K27" s="45"/>
      <c r="L27" s="45"/>
      <c r="M27" s="46"/>
      <c r="N27" s="45"/>
    </row>
    <row r="28" spans="2:14" x14ac:dyDescent="0.2">
      <c r="G28" s="26"/>
      <c r="I28" s="45"/>
      <c r="J28" s="45"/>
      <c r="K28" s="45"/>
      <c r="L28" s="45"/>
      <c r="M28" s="44"/>
      <c r="N28" s="45"/>
    </row>
    <row r="29" spans="2:14" x14ac:dyDescent="0.2">
      <c r="B29" s="14" t="s">
        <v>14</v>
      </c>
      <c r="C29" s="15">
        <f>C18-C27</f>
        <v>1240116.6666666665</v>
      </c>
      <c r="D29" s="15">
        <f>D18-D27</f>
        <v>7942450</v>
      </c>
      <c r="E29" s="15">
        <f>E18-E27</f>
        <v>11164450</v>
      </c>
      <c r="F29" s="15">
        <f>F18-F27</f>
        <v>26240416.666666668</v>
      </c>
      <c r="G29" s="65" t="s">
        <v>77</v>
      </c>
      <c r="I29" s="45"/>
      <c r="J29" s="45"/>
      <c r="K29" s="45"/>
      <c r="L29" s="45"/>
      <c r="M29" s="46"/>
      <c r="N29" s="45"/>
    </row>
    <row r="30" spans="2:14" x14ac:dyDescent="0.2">
      <c r="B30" s="7"/>
      <c r="C30" s="11"/>
      <c r="D30" s="11"/>
      <c r="E30" s="11"/>
      <c r="F30" s="11"/>
      <c r="G30" s="65"/>
      <c r="I30" s="45"/>
      <c r="J30" s="45"/>
      <c r="K30" s="45"/>
      <c r="L30" s="45"/>
      <c r="M30" s="46"/>
      <c r="N30" s="45"/>
    </row>
    <row r="31" spans="2:14" x14ac:dyDescent="0.2">
      <c r="B31" t="s">
        <v>24</v>
      </c>
      <c r="C31" s="31">
        <f>-('Balance Sheet'!C18+'Balance Sheet'!C22)*0.2</f>
        <v>0</v>
      </c>
      <c r="D31" s="31">
        <f>-('Balance Sheet'!D18+'Balance Sheet'!D22)*0.2</f>
        <v>0</v>
      </c>
      <c r="E31" s="31">
        <f>-('Balance Sheet'!E18+'Balance Sheet'!E22)*0.2</f>
        <v>0</v>
      </c>
      <c r="F31" s="31">
        <f>-('Balance Sheet'!F18+'Balance Sheet'!F22)*0.2</f>
        <v>0</v>
      </c>
      <c r="G31" s="65"/>
      <c r="I31" s="45"/>
      <c r="J31" s="45"/>
      <c r="K31" s="45"/>
      <c r="L31" s="45"/>
      <c r="M31" s="46"/>
      <c r="N31" s="45"/>
    </row>
    <row r="32" spans="2:14" x14ac:dyDescent="0.2">
      <c r="B32" s="7"/>
      <c r="C32" s="11"/>
      <c r="D32" s="11"/>
      <c r="E32" s="11"/>
      <c r="F32" s="11"/>
      <c r="G32" s="65"/>
      <c r="I32" s="45"/>
      <c r="J32" s="45"/>
      <c r="K32" s="45"/>
      <c r="L32" s="45"/>
      <c r="M32" s="46"/>
      <c r="N32" s="45"/>
    </row>
    <row r="33" spans="2:14" x14ac:dyDescent="0.2">
      <c r="B33" s="14" t="s">
        <v>25</v>
      </c>
      <c r="C33" s="15">
        <f>C29+C31</f>
        <v>1240116.6666666665</v>
      </c>
      <c r="D33" s="15">
        <f>D29+D31</f>
        <v>7942450</v>
      </c>
      <c r="E33" s="15">
        <f>E29+E31</f>
        <v>11164450</v>
      </c>
      <c r="F33" s="15">
        <f>F29+F31</f>
        <v>26240416.666666668</v>
      </c>
      <c r="G33" s="65"/>
      <c r="I33" s="45"/>
      <c r="J33" s="45"/>
      <c r="K33" s="45"/>
      <c r="L33" s="45"/>
      <c r="M33" s="46"/>
      <c r="N33" s="45"/>
    </row>
    <row r="34" spans="2:14" x14ac:dyDescent="0.2">
      <c r="G34" s="65"/>
      <c r="I34" s="45"/>
      <c r="J34" s="45"/>
      <c r="K34" s="45"/>
      <c r="L34" s="45"/>
      <c r="M34" s="46"/>
      <c r="N34" s="45"/>
    </row>
    <row r="35" spans="2:14" x14ac:dyDescent="0.2">
      <c r="B35" t="s">
        <v>16</v>
      </c>
      <c r="C35" s="29">
        <f>IF(C33&lt;0,0,C33*22.5%)</f>
        <v>279026.25</v>
      </c>
      <c r="D35" s="29">
        <f>IF(D33&lt;0,0,D33*22.5%)</f>
        <v>1787051.25</v>
      </c>
      <c r="E35" s="29">
        <f>IF(E33&lt;0,0,E33*22.5%)</f>
        <v>2512001.25</v>
      </c>
      <c r="F35" s="29">
        <f>IF(F33&lt;0,0,F33*22.5%)</f>
        <v>5904093.75</v>
      </c>
      <c r="G35" s="65"/>
      <c r="I35" s="45"/>
      <c r="J35" s="45"/>
      <c r="K35" s="45"/>
      <c r="L35" s="45"/>
      <c r="M35" s="46"/>
      <c r="N35" s="45"/>
    </row>
    <row r="36" spans="2:14" x14ac:dyDescent="0.2">
      <c r="I36" s="45"/>
      <c r="J36" s="45"/>
      <c r="K36" s="45"/>
      <c r="L36" s="45"/>
      <c r="M36" s="45"/>
      <c r="N36" s="45"/>
    </row>
    <row r="37" spans="2:14" x14ac:dyDescent="0.2">
      <c r="B37" s="14" t="s">
        <v>22</v>
      </c>
      <c r="C37" s="15">
        <f>C33-C35</f>
        <v>961090.41666666651</v>
      </c>
      <c r="D37" s="15">
        <f>D33-D35</f>
        <v>6155398.75</v>
      </c>
      <c r="E37" s="15">
        <f>E33-E35</f>
        <v>8652448.75</v>
      </c>
      <c r="F37" s="15">
        <f>F33-F35</f>
        <v>20336322.916666668</v>
      </c>
      <c r="I37" s="45"/>
      <c r="J37" s="45"/>
      <c r="K37" s="45"/>
      <c r="L37" s="45"/>
      <c r="M37" s="45"/>
      <c r="N37" s="45"/>
    </row>
    <row r="38" spans="2:14" x14ac:dyDescent="0.2">
      <c r="I38" s="45"/>
      <c r="J38" s="45"/>
      <c r="K38" s="45"/>
      <c r="L38" s="45"/>
      <c r="M38" s="45"/>
      <c r="N38" s="45"/>
    </row>
    <row r="39" spans="2:14" x14ac:dyDescent="0.2">
      <c r="B39" s="10">
        <f>30%*C37</f>
        <v>288327.12499999994</v>
      </c>
      <c r="I39" s="45"/>
      <c r="J39" s="45"/>
      <c r="K39" s="45"/>
      <c r="L39" s="45"/>
      <c r="M39" s="45"/>
      <c r="N39" s="45"/>
    </row>
    <row r="40" spans="2:14" x14ac:dyDescent="0.2">
      <c r="I40" s="45"/>
      <c r="J40" s="45"/>
      <c r="K40" s="45"/>
      <c r="L40" s="45"/>
      <c r="M40" s="45"/>
      <c r="N40" s="45"/>
    </row>
    <row r="41" spans="2:14" x14ac:dyDescent="0.2">
      <c r="B41" s="10">
        <f>C37+D37+E37+F37*2.5%</f>
        <v>16277345.989583332</v>
      </c>
      <c r="I41" s="45"/>
      <c r="J41" s="45"/>
      <c r="K41" s="45"/>
      <c r="L41" s="45"/>
      <c r="M41" s="45"/>
      <c r="N41" s="45"/>
    </row>
  </sheetData>
  <mergeCells count="5">
    <mergeCell ref="G4:G7"/>
    <mergeCell ref="G12:G16"/>
    <mergeCell ref="G18:G19"/>
    <mergeCell ref="G21:G27"/>
    <mergeCell ref="G29:G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ACC4-FD34-F449-9A9D-B08E1824BD36}">
  <dimension ref="A1:F13"/>
  <sheetViews>
    <sheetView zoomScale="150" zoomScaleNormal="150" workbookViewId="0">
      <selection activeCell="C13" sqref="C13"/>
    </sheetView>
  </sheetViews>
  <sheetFormatPr baseColWidth="10" defaultRowHeight="16" x14ac:dyDescent="0.2"/>
  <cols>
    <col min="1" max="1" width="30" bestFit="1" customWidth="1"/>
    <col min="2" max="2" width="17.1640625" bestFit="1" customWidth="1"/>
    <col min="3" max="3" width="15" bestFit="1" customWidth="1"/>
    <col min="4" max="5" width="15.1640625" bestFit="1" customWidth="1"/>
    <col min="6" max="6" width="13.83203125" bestFit="1" customWidth="1"/>
  </cols>
  <sheetData>
    <row r="1" spans="1:6" x14ac:dyDescent="0.2">
      <c r="A1" s="48" t="s">
        <v>26</v>
      </c>
      <c r="B1" s="49" t="s">
        <v>27</v>
      </c>
      <c r="C1" s="50" t="s">
        <v>1</v>
      </c>
      <c r="D1" s="50" t="s">
        <v>2</v>
      </c>
      <c r="E1" s="50" t="s">
        <v>3</v>
      </c>
      <c r="F1" s="50" t="s">
        <v>4</v>
      </c>
    </row>
    <row r="3" spans="1:6" x14ac:dyDescent="0.2">
      <c r="A3" s="17" t="s">
        <v>28</v>
      </c>
    </row>
    <row r="4" spans="1:6" x14ac:dyDescent="0.2">
      <c r="A4" t="s">
        <v>89</v>
      </c>
      <c r="B4" s="21">
        <v>8</v>
      </c>
      <c r="C4" s="22">
        <v>90000</v>
      </c>
      <c r="D4" s="22"/>
      <c r="E4" s="22"/>
      <c r="F4" s="18"/>
    </row>
    <row r="5" spans="1:6" x14ac:dyDescent="0.2">
      <c r="A5" t="s">
        <v>90</v>
      </c>
      <c r="B5" s="21">
        <v>5</v>
      </c>
      <c r="C5" s="22">
        <v>21500</v>
      </c>
      <c r="D5" s="22"/>
      <c r="E5" s="22"/>
      <c r="F5" s="18"/>
    </row>
    <row r="6" spans="1:6" x14ac:dyDescent="0.2">
      <c r="A6" t="s">
        <v>31</v>
      </c>
      <c r="B6" s="21">
        <v>6</v>
      </c>
      <c r="C6" s="23">
        <v>50000</v>
      </c>
      <c r="D6" s="23">
        <v>100000</v>
      </c>
      <c r="E6" s="23"/>
      <c r="F6" s="19"/>
    </row>
    <row r="7" spans="1:6" x14ac:dyDescent="0.2">
      <c r="A7" s="7" t="s">
        <v>29</v>
      </c>
      <c r="B7" s="7"/>
      <c r="C7" s="9">
        <f>SUM(C4:C6)</f>
        <v>161500</v>
      </c>
      <c r="D7" s="9">
        <f>SUM(D4:D6)</f>
        <v>100000</v>
      </c>
      <c r="E7" s="9">
        <f>SUM(E4:E6)</f>
        <v>0</v>
      </c>
      <c r="F7" s="9">
        <f>SUM(F4:F6)</f>
        <v>0</v>
      </c>
    </row>
    <row r="9" spans="1:6" x14ac:dyDescent="0.2">
      <c r="A9" s="17" t="s">
        <v>23</v>
      </c>
    </row>
    <row r="10" spans="1:6" x14ac:dyDescent="0.2">
      <c r="A10" t="s">
        <v>89</v>
      </c>
      <c r="C10" s="4">
        <f>$C$4/$B$4</f>
        <v>11250</v>
      </c>
      <c r="D10" s="4">
        <f>$C$4/$B$4</f>
        <v>11250</v>
      </c>
      <c r="E10" s="4">
        <f>$C$4/$B$4</f>
        <v>11250</v>
      </c>
      <c r="F10" s="4">
        <f>$C$4/$B$4</f>
        <v>11250</v>
      </c>
    </row>
    <row r="11" spans="1:6" x14ac:dyDescent="0.2">
      <c r="A11" t="s">
        <v>90</v>
      </c>
      <c r="C11" s="4">
        <f>$C$5/$B$5</f>
        <v>4300</v>
      </c>
      <c r="D11" s="4">
        <f>$C$5/$B$5+$D$5/$B$5</f>
        <v>4300</v>
      </c>
      <c r="E11" s="4">
        <f>$C$5/$B$5+$D$5/$B$5+$E$5/$B$5</f>
        <v>4300</v>
      </c>
      <c r="F11" s="4">
        <f>$D$5/$B$5+$E$5/$B$5</f>
        <v>0</v>
      </c>
    </row>
    <row r="12" spans="1:6" x14ac:dyDescent="0.2">
      <c r="A12" t="s">
        <v>31</v>
      </c>
      <c r="C12" s="4">
        <f>C6/B6</f>
        <v>8333.3333333333339</v>
      </c>
      <c r="D12" s="20"/>
      <c r="E12" s="20">
        <f>$E$6/$B$6</f>
        <v>0</v>
      </c>
      <c r="F12" s="20">
        <f>($E$6/$B$6)+C12</f>
        <v>8333.3333333333339</v>
      </c>
    </row>
    <row r="13" spans="1:6" x14ac:dyDescent="0.2">
      <c r="A13" s="7" t="s">
        <v>30</v>
      </c>
      <c r="B13" s="7"/>
      <c r="C13" s="9">
        <f>SUM(C10:C12)</f>
        <v>23883.333333333336</v>
      </c>
      <c r="D13" s="9">
        <f>SUM(D10:D12)</f>
        <v>15550</v>
      </c>
      <c r="E13" s="9">
        <f>SUM(E10:E12)</f>
        <v>15550</v>
      </c>
      <c r="F13" s="9">
        <f>SUM(F10:F12)</f>
        <v>19583.333333333336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6C04-6D05-FE4F-A35E-3CF47D155B6D}">
  <dimension ref="B1:M36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1" sqref="C31"/>
    </sheetView>
  </sheetViews>
  <sheetFormatPr baseColWidth="10" defaultRowHeight="16" x14ac:dyDescent="0.2"/>
  <cols>
    <col min="2" max="2" width="32.6640625" customWidth="1"/>
    <col min="3" max="3" width="25.83203125" customWidth="1"/>
    <col min="4" max="4" width="20.5" customWidth="1"/>
    <col min="5" max="5" width="24.5" customWidth="1"/>
    <col min="6" max="6" width="28.1640625" customWidth="1"/>
    <col min="7" max="7" width="41" customWidth="1"/>
    <col min="13" max="13" width="39.6640625" bestFit="1" customWidth="1"/>
  </cols>
  <sheetData>
    <row r="1" spans="2:13" x14ac:dyDescent="0.2">
      <c r="B1" s="48" t="s">
        <v>32</v>
      </c>
      <c r="C1" s="48" t="s">
        <v>1</v>
      </c>
      <c r="D1" s="48" t="s">
        <v>2</v>
      </c>
      <c r="E1" s="48" t="s">
        <v>3</v>
      </c>
      <c r="F1" s="48" t="s">
        <v>4</v>
      </c>
      <c r="G1" s="48" t="s">
        <v>15</v>
      </c>
      <c r="H1" s="52"/>
      <c r="I1" s="51"/>
      <c r="J1" s="51"/>
      <c r="K1" s="51"/>
      <c r="L1" s="51"/>
      <c r="M1" s="51"/>
    </row>
    <row r="2" spans="2:13" x14ac:dyDescent="0.2">
      <c r="G2" s="26"/>
      <c r="I2" s="45"/>
      <c r="J2" s="45"/>
      <c r="K2" s="45"/>
      <c r="L2" s="45"/>
      <c r="M2" s="44"/>
    </row>
    <row r="3" spans="2:13" x14ac:dyDescent="0.2">
      <c r="B3" s="24" t="s">
        <v>33</v>
      </c>
      <c r="G3" s="26"/>
      <c r="I3" s="45"/>
      <c r="J3" s="45"/>
      <c r="K3" s="45"/>
      <c r="L3" s="45"/>
      <c r="M3" s="44"/>
    </row>
    <row r="4" spans="2:13" x14ac:dyDescent="0.2">
      <c r="G4" s="26"/>
      <c r="I4" s="45"/>
      <c r="J4" s="45"/>
      <c r="K4" s="45"/>
      <c r="L4" s="45"/>
      <c r="M4" s="44"/>
    </row>
    <row r="5" spans="2:13" x14ac:dyDescent="0.2">
      <c r="B5" t="s">
        <v>34</v>
      </c>
      <c r="C5" s="30">
        <f>'Cash-Flow'!C22</f>
        <v>923473.74999999988</v>
      </c>
      <c r="D5" s="30">
        <f>C5+'Cash-Flow'!D22</f>
        <v>6994422.5</v>
      </c>
      <c r="E5" s="30">
        <f>D5+'Cash-Flow'!E22</f>
        <v>15862421.25</v>
      </c>
      <c r="F5" s="30">
        <f>E5+'Cash-Flow'!F22</f>
        <v>36318327.5</v>
      </c>
      <c r="G5" s="27" t="s">
        <v>81</v>
      </c>
      <c r="I5" s="45"/>
      <c r="J5" s="45"/>
      <c r="K5" s="45"/>
      <c r="L5" s="45"/>
      <c r="M5" s="44"/>
    </row>
    <row r="6" spans="2:13" x14ac:dyDescent="0.2">
      <c r="B6" t="s">
        <v>35</v>
      </c>
      <c r="C6" s="10">
        <f>Assumptions!B38*'Income Statment'!C7/365</f>
        <v>0</v>
      </c>
      <c r="D6" s="10">
        <f>Assumptions!C38*'Income Statment'!D7/365</f>
        <v>0</v>
      </c>
      <c r="E6" s="10">
        <f>Assumptions!D38*'Income Statment'!E7/365</f>
        <v>0</v>
      </c>
      <c r="F6" s="10">
        <f>Assumptions!E38*'Income Statment'!F7/365</f>
        <v>0</v>
      </c>
      <c r="G6" s="43" t="s">
        <v>82</v>
      </c>
      <c r="I6" s="45"/>
      <c r="J6" s="45"/>
      <c r="K6" s="45"/>
      <c r="L6" s="45"/>
      <c r="M6" s="44"/>
    </row>
    <row r="7" spans="2:13" x14ac:dyDescent="0.2">
      <c r="B7" s="7" t="s">
        <v>36</v>
      </c>
      <c r="C7" s="10">
        <f>C5+C6</f>
        <v>923473.74999999988</v>
      </c>
      <c r="D7" s="10">
        <f>D5+D6</f>
        <v>6994422.5</v>
      </c>
      <c r="E7" s="10">
        <f>E5+E6</f>
        <v>15862421.25</v>
      </c>
      <c r="F7" s="10">
        <f>F5+F6</f>
        <v>36318327.5</v>
      </c>
      <c r="G7" s="26"/>
      <c r="I7" s="45"/>
      <c r="J7" s="45"/>
      <c r="K7" s="45"/>
      <c r="L7" s="45"/>
      <c r="M7" s="44"/>
    </row>
    <row r="8" spans="2:13" x14ac:dyDescent="0.2">
      <c r="G8" s="26"/>
      <c r="I8" s="45"/>
      <c r="J8" s="45"/>
      <c r="K8" s="45"/>
      <c r="L8" s="45"/>
      <c r="M8" s="44"/>
    </row>
    <row r="9" spans="2:13" x14ac:dyDescent="0.2">
      <c r="B9" t="s">
        <v>37</v>
      </c>
      <c r="C9" s="10">
        <f>CAPEX!C7</f>
        <v>161500</v>
      </c>
      <c r="D9" s="10">
        <f>C9+CAPEX!D7</f>
        <v>261500</v>
      </c>
      <c r="E9" s="10">
        <f>D9+CAPEX!E7</f>
        <v>261500</v>
      </c>
      <c r="F9" s="10">
        <f>E9</f>
        <v>261500</v>
      </c>
      <c r="G9" s="62" t="s">
        <v>78</v>
      </c>
      <c r="I9" s="45"/>
      <c r="J9" s="45"/>
      <c r="K9" s="45"/>
      <c r="L9" s="45"/>
      <c r="M9" s="46"/>
    </row>
    <row r="10" spans="2:13" x14ac:dyDescent="0.2">
      <c r="B10" t="s">
        <v>38</v>
      </c>
      <c r="C10" s="10">
        <f>-CAPEX!C13</f>
        <v>-23883.333333333336</v>
      </c>
      <c r="D10" s="10">
        <f>-CAPEX!C13-CAPEX!D13</f>
        <v>-39433.333333333336</v>
      </c>
      <c r="E10" s="10">
        <f>-CAPEX!C13-CAPEX!D13-CAPEX!E13</f>
        <v>-54983.333333333336</v>
      </c>
      <c r="F10" s="10">
        <f>E10-CAPEX!F13</f>
        <v>-74566.666666666672</v>
      </c>
      <c r="G10" s="62"/>
      <c r="I10" s="45"/>
      <c r="J10" s="45"/>
      <c r="K10" s="45"/>
      <c r="L10" s="45"/>
      <c r="M10" s="46"/>
    </row>
    <row r="11" spans="2:13" x14ac:dyDescent="0.2">
      <c r="B11" s="7" t="s">
        <v>39</v>
      </c>
      <c r="C11" s="4">
        <f>C9+C10</f>
        <v>137616.66666666666</v>
      </c>
      <c r="D11" s="4">
        <f>D9+D10</f>
        <v>222066.66666666666</v>
      </c>
      <c r="E11" s="4">
        <f>E9+E10</f>
        <v>206516.66666666666</v>
      </c>
      <c r="F11" s="4">
        <f>F9+F10</f>
        <v>186933.33333333331</v>
      </c>
      <c r="G11" s="62"/>
      <c r="I11" s="45"/>
      <c r="J11" s="45"/>
      <c r="K11" s="45"/>
      <c r="L11" s="45"/>
      <c r="M11" s="46"/>
    </row>
    <row r="12" spans="2:13" x14ac:dyDescent="0.2">
      <c r="G12" s="26"/>
      <c r="I12" s="45"/>
      <c r="J12" s="45"/>
      <c r="K12" s="45"/>
      <c r="L12" s="45"/>
      <c r="M12" s="44"/>
    </row>
    <row r="13" spans="2:13" x14ac:dyDescent="0.2">
      <c r="B13" s="7" t="s">
        <v>40</v>
      </c>
      <c r="C13" s="11">
        <f>C7+C11</f>
        <v>1061090.4166666665</v>
      </c>
      <c r="D13" s="11">
        <f>D7+D11</f>
        <v>7216489.166666667</v>
      </c>
      <c r="E13" s="11">
        <f>E7+E11</f>
        <v>16068937.916666666</v>
      </c>
      <c r="F13" s="11">
        <f>F7+F11</f>
        <v>36505260.833333336</v>
      </c>
      <c r="G13" s="26"/>
      <c r="I13" s="45"/>
      <c r="J13" s="45"/>
      <c r="K13" s="45"/>
      <c r="L13" s="45"/>
      <c r="M13" s="44"/>
    </row>
    <row r="14" spans="2:13" x14ac:dyDescent="0.2">
      <c r="G14" s="26"/>
      <c r="I14" s="45"/>
      <c r="J14" s="45"/>
      <c r="K14" s="45"/>
      <c r="L14" s="45"/>
      <c r="M14" s="44"/>
    </row>
    <row r="15" spans="2:13" x14ac:dyDescent="0.2">
      <c r="B15" s="24" t="s">
        <v>41</v>
      </c>
      <c r="G15" s="26"/>
      <c r="I15" s="45"/>
      <c r="J15" s="45"/>
      <c r="K15" s="45"/>
      <c r="L15" s="45"/>
      <c r="M15" s="44"/>
    </row>
    <row r="16" spans="2:13" x14ac:dyDescent="0.2">
      <c r="G16" s="26"/>
      <c r="I16" s="45"/>
      <c r="J16" s="45"/>
      <c r="K16" s="45"/>
      <c r="L16" s="45"/>
      <c r="M16" s="44"/>
    </row>
    <row r="17" spans="2:13" x14ac:dyDescent="0.2">
      <c r="B17" t="s">
        <v>42</v>
      </c>
      <c r="C17" s="4">
        <f>Assumptions!B39*'Income Statment'!C16/365</f>
        <v>0</v>
      </c>
      <c r="D17" s="4">
        <f>Assumptions!C39*'Income Statment'!D16/365</f>
        <v>0</v>
      </c>
      <c r="E17" s="4">
        <f>Assumptions!D39*'Income Statment'!E16/365</f>
        <v>0</v>
      </c>
      <c r="F17" s="4">
        <f>Assumptions!E39*'Income Statment'!F16/365</f>
        <v>0</v>
      </c>
      <c r="G17" s="53" t="s">
        <v>83</v>
      </c>
      <c r="I17" s="45"/>
      <c r="J17" s="45"/>
      <c r="K17" s="45"/>
      <c r="L17" s="45"/>
      <c r="M17" s="44"/>
    </row>
    <row r="18" spans="2:13" x14ac:dyDescent="0.2">
      <c r="B18" t="s">
        <v>53</v>
      </c>
      <c r="C18" s="10">
        <f>Assumptions!B48</f>
        <v>0</v>
      </c>
      <c r="D18" s="10">
        <f>Assumptions!C48</f>
        <v>0</v>
      </c>
      <c r="E18" s="10">
        <f>Assumptions!D48</f>
        <v>0</v>
      </c>
      <c r="F18" s="10">
        <f>Assumptions!E48</f>
        <v>0</v>
      </c>
      <c r="G18" s="53" t="s">
        <v>79</v>
      </c>
      <c r="I18" s="45"/>
      <c r="J18" s="45"/>
      <c r="K18" s="45"/>
      <c r="L18" s="45"/>
      <c r="M18" s="44"/>
    </row>
    <row r="19" spans="2:13" x14ac:dyDescent="0.2">
      <c r="C19" s="10"/>
      <c r="D19" s="10"/>
      <c r="E19" s="10"/>
      <c r="F19" s="10"/>
      <c r="G19" s="26"/>
      <c r="I19" s="45"/>
      <c r="J19" s="45"/>
      <c r="K19" s="45"/>
      <c r="L19" s="45"/>
      <c r="M19" s="44"/>
    </row>
    <row r="20" spans="2:13" x14ac:dyDescent="0.2">
      <c r="B20" s="7" t="s">
        <v>54</v>
      </c>
      <c r="C20" s="11">
        <f>C17+C18</f>
        <v>0</v>
      </c>
      <c r="D20" s="11">
        <f>D17+D18</f>
        <v>0</v>
      </c>
      <c r="E20" s="11">
        <f>E17+E18</f>
        <v>0</v>
      </c>
      <c r="F20" s="11">
        <f>F17+F18</f>
        <v>0</v>
      </c>
      <c r="G20" s="26"/>
      <c r="I20" s="45"/>
      <c r="J20" s="45"/>
      <c r="K20" s="45"/>
      <c r="L20" s="45"/>
      <c r="M20" s="44"/>
    </row>
    <row r="21" spans="2:13" x14ac:dyDescent="0.2">
      <c r="G21" s="26"/>
      <c r="I21" s="45"/>
      <c r="J21" s="45"/>
      <c r="K21" s="45"/>
      <c r="L21" s="45"/>
      <c r="M21" s="44"/>
    </row>
    <row r="22" spans="2:13" x14ac:dyDescent="0.2">
      <c r="B22" t="s">
        <v>43</v>
      </c>
      <c r="C22" s="10">
        <f>Assumptions!B49</f>
        <v>0</v>
      </c>
      <c r="D22" s="10">
        <f>Assumptions!C49</f>
        <v>0</v>
      </c>
      <c r="E22" s="10">
        <f>Assumptions!D49</f>
        <v>0</v>
      </c>
      <c r="F22" s="10">
        <f>Assumptions!E49</f>
        <v>0</v>
      </c>
      <c r="G22" s="53" t="s">
        <v>79</v>
      </c>
      <c r="I22" s="45"/>
      <c r="J22" s="45"/>
      <c r="K22" s="45"/>
      <c r="L22" s="45"/>
      <c r="M22" s="44"/>
    </row>
    <row r="23" spans="2:13" x14ac:dyDescent="0.2">
      <c r="G23" s="26"/>
      <c r="I23" s="45"/>
      <c r="J23" s="45"/>
      <c r="K23" s="45"/>
      <c r="L23" s="45"/>
      <c r="M23" s="44"/>
    </row>
    <row r="24" spans="2:13" x14ac:dyDescent="0.2">
      <c r="B24" s="7" t="s">
        <v>44</v>
      </c>
      <c r="C24" s="11">
        <f>C20+C22</f>
        <v>0</v>
      </c>
      <c r="D24" s="11">
        <f>D20+D22</f>
        <v>0</v>
      </c>
      <c r="E24" s="11">
        <f>E20+E22</f>
        <v>0</v>
      </c>
      <c r="F24" s="11">
        <f>F20+F22</f>
        <v>0</v>
      </c>
      <c r="G24" s="26"/>
      <c r="I24" s="45"/>
      <c r="J24" s="45"/>
      <c r="K24" s="45"/>
      <c r="L24" s="45"/>
      <c r="M24" s="44"/>
    </row>
    <row r="25" spans="2:13" x14ac:dyDescent="0.2">
      <c r="G25" s="26"/>
      <c r="I25" s="45"/>
      <c r="J25" s="45"/>
      <c r="K25" s="45"/>
      <c r="L25" s="45"/>
      <c r="M25" s="44"/>
    </row>
    <row r="26" spans="2:13" x14ac:dyDescent="0.2">
      <c r="B26" s="24" t="s">
        <v>45</v>
      </c>
      <c r="G26" s="26"/>
      <c r="I26" s="45"/>
      <c r="J26" s="45"/>
      <c r="K26" s="45"/>
      <c r="L26" s="45"/>
      <c r="M26" s="44"/>
    </row>
    <row r="27" spans="2:13" x14ac:dyDescent="0.2">
      <c r="G27" s="26"/>
      <c r="I27" s="45"/>
      <c r="J27" s="45"/>
      <c r="K27" s="45"/>
      <c r="L27" s="45"/>
      <c r="M27" s="44"/>
    </row>
    <row r="28" spans="2:13" x14ac:dyDescent="0.2">
      <c r="B28" t="s">
        <v>46</v>
      </c>
      <c r="C28" s="4">
        <v>100000</v>
      </c>
      <c r="D28" s="4">
        <v>100000</v>
      </c>
      <c r="E28" s="4">
        <v>300000</v>
      </c>
      <c r="F28" s="4">
        <v>400000</v>
      </c>
      <c r="G28" s="65" t="s">
        <v>80</v>
      </c>
      <c r="I28" s="45"/>
      <c r="J28" s="45"/>
      <c r="K28" s="45"/>
      <c r="L28" s="45"/>
      <c r="M28" s="46"/>
    </row>
    <row r="29" spans="2:13" x14ac:dyDescent="0.2">
      <c r="B29" t="s">
        <v>22</v>
      </c>
      <c r="C29" s="4">
        <f>'Income Statment'!C37</f>
        <v>961090.41666666651</v>
      </c>
      <c r="D29" s="4">
        <f>'Income Statment'!D37</f>
        <v>6155398.75</v>
      </c>
      <c r="E29" s="4">
        <f>'Income Statment'!E37</f>
        <v>8652448.75</v>
      </c>
      <c r="F29" s="4">
        <f>'Income Statment'!F37</f>
        <v>20336322.916666668</v>
      </c>
      <c r="G29" s="65"/>
      <c r="I29" s="45"/>
      <c r="J29" s="45"/>
      <c r="K29" s="45"/>
      <c r="L29" s="45"/>
      <c r="M29" s="46"/>
    </row>
    <row r="30" spans="2:13" x14ac:dyDescent="0.2">
      <c r="B30" t="s">
        <v>47</v>
      </c>
      <c r="C30" s="10">
        <f>C29</f>
        <v>961090.41666666651</v>
      </c>
      <c r="D30" s="10">
        <f>C30+D29</f>
        <v>7116489.166666666</v>
      </c>
      <c r="E30" s="10">
        <f>D30+E29</f>
        <v>15768937.916666666</v>
      </c>
      <c r="F30" s="10">
        <f>E30+F29</f>
        <v>36105260.833333336</v>
      </c>
      <c r="G30" s="65"/>
      <c r="I30" s="45"/>
      <c r="J30" s="45"/>
      <c r="K30" s="45"/>
      <c r="L30" s="45"/>
      <c r="M30" s="46"/>
    </row>
    <row r="31" spans="2:13" x14ac:dyDescent="0.2">
      <c r="B31" t="s">
        <v>48</v>
      </c>
      <c r="C31" s="10">
        <f>C28+C30</f>
        <v>1061090.4166666665</v>
      </c>
      <c r="D31" s="10">
        <f>D28+D30</f>
        <v>7216489.166666666</v>
      </c>
      <c r="E31" s="10">
        <f>E28+E30</f>
        <v>16068937.916666666</v>
      </c>
      <c r="F31" s="10">
        <f>F28+F30</f>
        <v>36505260.833333336</v>
      </c>
      <c r="G31" s="65"/>
      <c r="I31" s="45"/>
      <c r="J31" s="45"/>
      <c r="K31" s="45"/>
      <c r="L31" s="45"/>
      <c r="M31" s="46"/>
    </row>
    <row r="32" spans="2:13" x14ac:dyDescent="0.2">
      <c r="I32" s="45"/>
      <c r="J32" s="45"/>
      <c r="K32" s="45"/>
      <c r="L32" s="45"/>
      <c r="M32" s="45"/>
    </row>
    <row r="33" spans="2:13" x14ac:dyDescent="0.2">
      <c r="B33" s="7" t="s">
        <v>49</v>
      </c>
      <c r="C33" s="10">
        <f>C24+C31</f>
        <v>1061090.4166666665</v>
      </c>
      <c r="D33" s="10">
        <f>D24+D31</f>
        <v>7216489.166666666</v>
      </c>
      <c r="E33" s="10">
        <f>E24+E31</f>
        <v>16068937.916666666</v>
      </c>
      <c r="F33" s="10">
        <f>F24+F31</f>
        <v>36505260.833333336</v>
      </c>
      <c r="I33" s="45"/>
      <c r="J33" s="45"/>
      <c r="K33" s="45"/>
      <c r="L33" s="45"/>
      <c r="M33" s="45"/>
    </row>
    <row r="34" spans="2:13" x14ac:dyDescent="0.2">
      <c r="I34" s="45"/>
      <c r="J34" s="45"/>
      <c r="K34" s="45"/>
      <c r="L34" s="45"/>
      <c r="M34" s="45"/>
    </row>
    <row r="35" spans="2:13" x14ac:dyDescent="0.2">
      <c r="B35" t="s">
        <v>50</v>
      </c>
      <c r="C35" s="25">
        <f>C13-C33</f>
        <v>0</v>
      </c>
      <c r="D35" s="25">
        <f>D13-D33</f>
        <v>0</v>
      </c>
      <c r="E35" s="25">
        <f>E13-E33</f>
        <v>0</v>
      </c>
      <c r="F35" s="25">
        <f>F13-F33</f>
        <v>0</v>
      </c>
      <c r="I35" s="45"/>
      <c r="J35" s="45"/>
      <c r="K35" s="45"/>
      <c r="L35" s="45"/>
      <c r="M35" s="45"/>
    </row>
    <row r="36" spans="2:13" x14ac:dyDescent="0.2">
      <c r="I36" s="45"/>
      <c r="J36" s="45"/>
      <c r="K36" s="45"/>
      <c r="L36" s="45"/>
      <c r="M36" s="45"/>
    </row>
  </sheetData>
  <mergeCells count="2">
    <mergeCell ref="G9:G11"/>
    <mergeCell ref="G28:G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92FA-9C8F-CA42-A9D0-7886A4C38745}">
  <dimension ref="B1:L2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baseColWidth="10" defaultRowHeight="16" x14ac:dyDescent="0.2"/>
  <cols>
    <col min="2" max="2" width="18.83203125" bestFit="1" customWidth="1"/>
    <col min="3" max="3" width="23.1640625" customWidth="1"/>
    <col min="4" max="4" width="19.6640625" customWidth="1"/>
    <col min="5" max="5" width="17.6640625" customWidth="1"/>
    <col min="6" max="6" width="17.33203125" customWidth="1"/>
    <col min="7" max="7" width="30.6640625" bestFit="1" customWidth="1"/>
    <col min="9" max="9" width="15.5" bestFit="1" customWidth="1"/>
    <col min="10" max="10" width="15" customWidth="1"/>
    <col min="11" max="11" width="17.6640625" customWidth="1"/>
    <col min="12" max="12" width="17.33203125" customWidth="1"/>
  </cols>
  <sheetData>
    <row r="1" spans="2:12" x14ac:dyDescent="0.2">
      <c r="B1" s="48" t="s">
        <v>61</v>
      </c>
      <c r="C1" s="48" t="s">
        <v>1</v>
      </c>
      <c r="D1" s="48" t="s">
        <v>2</v>
      </c>
      <c r="E1" s="48" t="s">
        <v>3</v>
      </c>
      <c r="F1" s="48" t="s">
        <v>4</v>
      </c>
      <c r="I1" s="27" t="s">
        <v>1</v>
      </c>
      <c r="J1" s="27" t="s">
        <v>2</v>
      </c>
      <c r="K1" s="27" t="s">
        <v>3</v>
      </c>
      <c r="L1" s="27" t="s">
        <v>4</v>
      </c>
    </row>
    <row r="3" spans="2:12" x14ac:dyDescent="0.2">
      <c r="B3" t="s">
        <v>22</v>
      </c>
      <c r="C3" s="10">
        <f>'Income Statment'!C37</f>
        <v>961090.41666666651</v>
      </c>
      <c r="D3" s="10">
        <f>'Income Statment'!D37</f>
        <v>6155398.75</v>
      </c>
      <c r="E3" s="10">
        <f>'Income Statment'!E37</f>
        <v>8652448.75</v>
      </c>
      <c r="F3" s="10">
        <f>'Income Statment'!F37</f>
        <v>20336322.916666668</v>
      </c>
      <c r="I3" s="10">
        <f>'Income Statment'!I37</f>
        <v>0</v>
      </c>
      <c r="J3" s="10">
        <f>'Income Statment'!J37</f>
        <v>0</v>
      </c>
      <c r="K3" s="10">
        <f>'Income Statment'!K37</f>
        <v>0</v>
      </c>
      <c r="L3" s="10">
        <f>'Income Statment'!L37</f>
        <v>0</v>
      </c>
    </row>
    <row r="5" spans="2:12" x14ac:dyDescent="0.2">
      <c r="B5" s="17" t="s">
        <v>62</v>
      </c>
    </row>
    <row r="6" spans="2:12" x14ac:dyDescent="0.2">
      <c r="B6" t="s">
        <v>23</v>
      </c>
      <c r="C6" s="10">
        <f>'Income Statment'!C26</f>
        <v>23883.333333333336</v>
      </c>
      <c r="D6" s="10">
        <f>'Income Statment'!D26</f>
        <v>15550</v>
      </c>
      <c r="E6" s="10">
        <f>'Income Statment'!E26</f>
        <v>15550</v>
      </c>
      <c r="F6" s="10">
        <f>'Income Statment'!F26</f>
        <v>19583.333333333336</v>
      </c>
      <c r="I6" s="10">
        <f>'Income Statment'!I26</f>
        <v>0</v>
      </c>
      <c r="J6" s="10">
        <f>'Income Statment'!J26</f>
        <v>0</v>
      </c>
      <c r="K6" s="10">
        <f>'Income Statment'!K26</f>
        <v>0</v>
      </c>
      <c r="L6" s="10">
        <f>'Income Statment'!L26</f>
        <v>0</v>
      </c>
    </row>
    <row r="7" spans="2:12" x14ac:dyDescent="0.2">
      <c r="B7" t="s">
        <v>63</v>
      </c>
      <c r="C7" s="10">
        <f>0-'Balance Sheet'!C6</f>
        <v>0</v>
      </c>
      <c r="D7" s="10">
        <f>'Balance Sheet'!C6-'Balance Sheet'!D6</f>
        <v>0</v>
      </c>
      <c r="E7" s="10">
        <f>'Balance Sheet'!D6-'Balance Sheet'!E6</f>
        <v>0</v>
      </c>
      <c r="F7" s="10">
        <f>'Balance Sheet'!E6-'Balance Sheet'!F6</f>
        <v>0</v>
      </c>
      <c r="I7" s="10">
        <f>0-'Balance Sheet'!I6</f>
        <v>0</v>
      </c>
      <c r="J7" s="10">
        <f>'Balance Sheet'!I6-'Balance Sheet'!J6</f>
        <v>0</v>
      </c>
      <c r="K7" s="10">
        <f>'Balance Sheet'!J6-'Balance Sheet'!K6</f>
        <v>0</v>
      </c>
      <c r="L7" s="10">
        <f>'Balance Sheet'!K6-'Balance Sheet'!L6</f>
        <v>0</v>
      </c>
    </row>
    <row r="8" spans="2:12" x14ac:dyDescent="0.2">
      <c r="B8" t="s">
        <v>64</v>
      </c>
      <c r="C8" s="10">
        <f>'Balance Sheet'!C17-0</f>
        <v>0</v>
      </c>
      <c r="D8" s="10">
        <f>'Balance Sheet'!D17-'Balance Sheet'!C17</f>
        <v>0</v>
      </c>
      <c r="E8" s="10">
        <f>'Balance Sheet'!E17-'Balance Sheet'!D17</f>
        <v>0</v>
      </c>
      <c r="F8" s="10">
        <f>'Balance Sheet'!F17-'Balance Sheet'!E17</f>
        <v>0</v>
      </c>
      <c r="I8" s="10">
        <f>'Balance Sheet'!I17-0</f>
        <v>0</v>
      </c>
      <c r="J8" s="10">
        <f>'Balance Sheet'!J17-'Balance Sheet'!I17</f>
        <v>0</v>
      </c>
      <c r="K8" s="10">
        <f>'Balance Sheet'!K17-'Balance Sheet'!J17</f>
        <v>0</v>
      </c>
      <c r="L8" s="10">
        <f>'Balance Sheet'!L17-'Balance Sheet'!K17</f>
        <v>0</v>
      </c>
    </row>
    <row r="9" spans="2:12" x14ac:dyDescent="0.2">
      <c r="B9" t="s">
        <v>65</v>
      </c>
      <c r="C9" s="10">
        <f>C3+C6+C7+C8</f>
        <v>984973.74999999988</v>
      </c>
      <c r="D9" s="10">
        <f>D3+D6+D7+D8</f>
        <v>6170948.75</v>
      </c>
      <c r="E9" s="10">
        <f>E3+E6+E7+E8</f>
        <v>8667998.75</v>
      </c>
      <c r="F9" s="10">
        <f>F3+F6+F7+F8</f>
        <v>20355906.25</v>
      </c>
      <c r="I9" s="10">
        <f>I3+I6+I7+I8</f>
        <v>0</v>
      </c>
      <c r="J9" s="10">
        <f>J3+J6+J7+J8</f>
        <v>0</v>
      </c>
      <c r="K9" s="10">
        <f>K3+K6+K7+K8</f>
        <v>0</v>
      </c>
      <c r="L9" s="10">
        <f>L3+L6+L7+L8</f>
        <v>0</v>
      </c>
    </row>
    <row r="11" spans="2:12" x14ac:dyDescent="0.2">
      <c r="B11" s="17" t="s">
        <v>66</v>
      </c>
    </row>
    <row r="12" spans="2:12" x14ac:dyDescent="0.2">
      <c r="B12" t="s">
        <v>28</v>
      </c>
      <c r="C12" s="10">
        <f>CAPEX!C7</f>
        <v>161500</v>
      </c>
      <c r="D12" s="10">
        <f>CAPEX!D7</f>
        <v>100000</v>
      </c>
      <c r="E12" s="10">
        <f>CAPEX!E7</f>
        <v>0</v>
      </c>
      <c r="F12" s="10">
        <f>CAPEX!F7</f>
        <v>0</v>
      </c>
      <c r="I12" s="10">
        <f>CAPEX!I7</f>
        <v>0</v>
      </c>
      <c r="J12" s="10">
        <f>CAPEX!J7</f>
        <v>0</v>
      </c>
      <c r="K12" s="10">
        <f>CAPEX!K7</f>
        <v>0</v>
      </c>
      <c r="L12" s="10">
        <f>CAPEX!L7</f>
        <v>0</v>
      </c>
    </row>
    <row r="14" spans="2:12" x14ac:dyDescent="0.2">
      <c r="B14" t="s">
        <v>67</v>
      </c>
      <c r="C14" s="10">
        <f>C9-C12</f>
        <v>823473.74999999988</v>
      </c>
      <c r="D14" s="10">
        <f>D9-D12</f>
        <v>6070948.75</v>
      </c>
      <c r="E14" s="10">
        <f>E9-E12</f>
        <v>8667998.75</v>
      </c>
      <c r="F14" s="10">
        <f>F9-F12</f>
        <v>20355906.25</v>
      </c>
      <c r="G14" t="s">
        <v>84</v>
      </c>
      <c r="I14" s="10">
        <f>I9-I12</f>
        <v>0</v>
      </c>
      <c r="J14" s="10">
        <f>J9-J12</f>
        <v>0</v>
      </c>
      <c r="K14" s="10">
        <f>K9-K12</f>
        <v>0</v>
      </c>
      <c r="L14" s="10">
        <f>L9-L12</f>
        <v>0</v>
      </c>
    </row>
    <row r="16" spans="2:12" x14ac:dyDescent="0.2">
      <c r="B16" s="17" t="s">
        <v>68</v>
      </c>
    </row>
    <row r="17" spans="2:12" x14ac:dyDescent="0.2">
      <c r="B17" t="s">
        <v>71</v>
      </c>
      <c r="C17" s="10">
        <f>'Balance Sheet'!C18-0</f>
        <v>0</v>
      </c>
      <c r="D17" s="10">
        <f>'Balance Sheet'!D18-'Balance Sheet'!C18</f>
        <v>0</v>
      </c>
      <c r="E17" s="10">
        <f>'Balance Sheet'!E18-'Balance Sheet'!D18</f>
        <v>0</v>
      </c>
      <c r="F17" s="10">
        <f>'Balance Sheet'!F18-'Balance Sheet'!E18</f>
        <v>0</v>
      </c>
      <c r="I17" s="10">
        <f>'Balance Sheet'!I18-0</f>
        <v>0</v>
      </c>
      <c r="J17" s="10">
        <f>'Balance Sheet'!J18-'Balance Sheet'!I18</f>
        <v>0</v>
      </c>
      <c r="K17" s="10">
        <f>'Balance Sheet'!K18-'Balance Sheet'!J18</f>
        <v>0</v>
      </c>
      <c r="L17" s="10">
        <f>'Balance Sheet'!L18-'Balance Sheet'!K18</f>
        <v>0</v>
      </c>
    </row>
    <row r="18" spans="2:12" x14ac:dyDescent="0.2">
      <c r="B18" t="s">
        <v>72</v>
      </c>
      <c r="C18" s="10">
        <f>'Balance Sheet'!C22-0</f>
        <v>0</v>
      </c>
      <c r="D18" s="10">
        <f>'Balance Sheet'!D22-'Balance Sheet'!C22</f>
        <v>0</v>
      </c>
      <c r="E18" s="10">
        <f>'Balance Sheet'!E22-'Balance Sheet'!D22</f>
        <v>0</v>
      </c>
      <c r="F18" s="10">
        <f>'Balance Sheet'!F22-'Balance Sheet'!E22</f>
        <v>0</v>
      </c>
      <c r="I18" s="10">
        <f>'Balance Sheet'!I22-0</f>
        <v>0</v>
      </c>
      <c r="J18" s="10">
        <f>'Balance Sheet'!J22-'Balance Sheet'!I22</f>
        <v>0</v>
      </c>
      <c r="K18" s="10">
        <f>'Balance Sheet'!K22-'Balance Sheet'!J22</f>
        <v>0</v>
      </c>
      <c r="L18" s="10">
        <f>'Balance Sheet'!L22-'Balance Sheet'!K22</f>
        <v>0</v>
      </c>
    </row>
    <row r="19" spans="2:12" x14ac:dyDescent="0.2">
      <c r="B19" t="s">
        <v>73</v>
      </c>
      <c r="C19" s="10">
        <f>'Balance Sheet'!C28-0</f>
        <v>100000</v>
      </c>
      <c r="D19" s="10">
        <f>'Balance Sheet'!D28-'Balance Sheet'!C28</f>
        <v>0</v>
      </c>
      <c r="E19" s="10">
        <f>'Balance Sheet'!E28-'Balance Sheet'!D28</f>
        <v>200000</v>
      </c>
      <c r="F19" s="10">
        <f>'Balance Sheet'!F28-'Balance Sheet'!E28</f>
        <v>100000</v>
      </c>
      <c r="I19" s="10">
        <f>'Balance Sheet'!I28-0</f>
        <v>0</v>
      </c>
      <c r="J19" s="10">
        <f>'Balance Sheet'!J28-'Balance Sheet'!I28</f>
        <v>0</v>
      </c>
      <c r="K19" s="10">
        <f>'Balance Sheet'!K28-'Balance Sheet'!J28</f>
        <v>0</v>
      </c>
      <c r="L19" s="10">
        <f>'Balance Sheet'!L28-'Balance Sheet'!K28</f>
        <v>0</v>
      </c>
    </row>
    <row r="20" spans="2:12" x14ac:dyDescent="0.2">
      <c r="B20" t="s">
        <v>69</v>
      </c>
      <c r="C20" s="10">
        <f>C17+C18+C19</f>
        <v>100000</v>
      </c>
      <c r="D20" s="10">
        <f>D17+D18+D19</f>
        <v>0</v>
      </c>
      <c r="E20" s="10">
        <f>E17+E18+E19</f>
        <v>200000</v>
      </c>
      <c r="F20" s="10">
        <f>F17+F18+F19</f>
        <v>100000</v>
      </c>
      <c r="I20" s="10">
        <f>I17+I18+I19</f>
        <v>0</v>
      </c>
      <c r="J20" s="10">
        <f>J17+J18+J19</f>
        <v>0</v>
      </c>
      <c r="K20" s="10">
        <f>K17+K18+K19</f>
        <v>0</v>
      </c>
      <c r="L20" s="10">
        <f>L17+L18+L19</f>
        <v>0</v>
      </c>
    </row>
    <row r="22" spans="2:12" x14ac:dyDescent="0.2">
      <c r="B22" s="7" t="s">
        <v>70</v>
      </c>
      <c r="C22" s="10">
        <f>C14+C20</f>
        <v>923473.74999999988</v>
      </c>
      <c r="D22" s="10">
        <f>D14+D20</f>
        <v>6070948.75</v>
      </c>
      <c r="E22" s="10">
        <f>E14+E20</f>
        <v>8867998.75</v>
      </c>
      <c r="F22" s="10">
        <f>F14+F20</f>
        <v>20455906.25</v>
      </c>
      <c r="I22" s="10">
        <f>I14+I20</f>
        <v>0</v>
      </c>
      <c r="J22" s="10">
        <f>J14+J20</f>
        <v>0</v>
      </c>
      <c r="K22" s="10">
        <f>K14+K20</f>
        <v>0</v>
      </c>
      <c r="L22" s="10">
        <f>L14+L20</f>
        <v>0</v>
      </c>
    </row>
    <row r="24" spans="2:12" x14ac:dyDescent="0.2">
      <c r="C24" s="10"/>
      <c r="D24" s="10"/>
      <c r="E24" s="10"/>
      <c r="F24" s="10"/>
      <c r="I24" s="10"/>
      <c r="J24" s="10"/>
      <c r="K24" s="10"/>
      <c r="L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Admin. Payroll</vt:lpstr>
      <vt:lpstr>Assumptions</vt:lpstr>
      <vt:lpstr>Income Statment</vt:lpstr>
      <vt:lpstr>CAPEX</vt:lpstr>
      <vt:lpstr>Balance Sheet</vt:lpstr>
      <vt:lpstr>Cash-Flow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2022-09-30T17:41:30Z</dcterms:created>
  <dcterms:modified xsi:type="dcterms:W3CDTF">2022-11-17T12:26:59Z</dcterms:modified>
</cp:coreProperties>
</file>