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zfw568_alumni_ku_dk/Documents/Fin2/1. Arbitrage/"/>
    </mc:Choice>
  </mc:AlternateContent>
  <xr:revisionPtr revIDLastSave="7" documentId="11_1C75EC8F6C4BBD7AEC6A19D9F1A0BEA8845C1157" xr6:coauthVersionLast="47" xr6:coauthVersionMax="47" xr10:uidLastSave="{815A6C70-AD6C-47B6-BB47-46520D3595EE}"/>
  <bookViews>
    <workbookView xWindow="27900" yWindow="-16320" windowWidth="29040" windowHeight="15840" activeTab="2" xr2:uid="{00000000-000D-0000-FFFF-FFFF00000000}"/>
  </bookViews>
  <sheets>
    <sheet name="Opgave 1" sheetId="2" r:id="rId1"/>
    <sheet name="Opgave 2" sheetId="3" r:id="rId2"/>
    <sheet name="Opgave 3" sheetId="4" r:id="rId3"/>
  </sheets>
  <definedNames>
    <definedName name="solver_adj" localSheetId="0" hidden="1">'Opgave 1'!$B$61:$B$62</definedName>
    <definedName name="solver_adj" localSheetId="1" hidden="1">'Opgave 2'!#REF!</definedName>
    <definedName name="solver_adj" localSheetId="2" hidden="1">'Opgave 3'!$C$8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'Opgave 1'!$G$56:$G$59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'Opgave 1'!$E$61</definedName>
    <definedName name="solver_opt" localSheetId="1" hidden="1">'Opgave 2'!#REF!</definedName>
    <definedName name="solver_opt" localSheetId="2" hidden="1">'Opgave 3'!$D$13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hs1" localSheetId="0" hidden="1">'Opgave 1'!$E$56:$E$59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1</definedName>
    <definedName name="solver_typ" localSheetId="0" hidden="1">2</definedName>
    <definedName name="solver_typ" localSheetId="1" hidden="1">3</definedName>
    <definedName name="solver_typ" localSheetId="2" hidden="1">1</definedName>
    <definedName name="solver_val" localSheetId="0" hidden="1">0.4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I1" i="4"/>
  <c r="C12" i="4"/>
  <c r="I2" i="4" l="1"/>
  <c r="C26" i="4" s="1"/>
  <c r="C27" i="4"/>
  <c r="C13" i="4" l="1"/>
  <c r="J11" i="4" l="1"/>
  <c r="J12" i="4" s="1"/>
  <c r="D13" i="4" l="1"/>
  <c r="C19" i="4"/>
  <c r="C24" i="4" l="1"/>
  <c r="C23" i="4"/>
  <c r="D24" i="4" l="1"/>
  <c r="C21" i="4"/>
  <c r="C49" i="2" l="1"/>
  <c r="C50" i="2" s="1"/>
  <c r="F33" i="2"/>
  <c r="D33" i="2"/>
  <c r="B33" i="2"/>
  <c r="G24" i="2"/>
  <c r="F24" i="2"/>
  <c r="E24" i="2"/>
  <c r="D24" i="2"/>
  <c r="E17" i="2"/>
  <c r="I4" i="2"/>
  <c r="B4" i="2" s="1"/>
  <c r="B50" i="2" s="1"/>
  <c r="C3" i="4"/>
  <c r="B27" i="4" l="1"/>
  <c r="B26" i="4"/>
  <c r="G17" i="2"/>
  <c r="C4" i="2"/>
  <c r="C41" i="2" s="1"/>
  <c r="I3" i="2"/>
  <c r="C17" i="2" s="1"/>
  <c r="C21" i="3"/>
  <c r="C20" i="3"/>
  <c r="C19" i="3"/>
  <c r="B15" i="3"/>
  <c r="B14" i="3"/>
  <c r="A10" i="3"/>
  <c r="G41" i="2" l="1"/>
  <c r="I5" i="2"/>
  <c r="C18" i="2" s="1"/>
  <c r="B3" i="2"/>
  <c r="C3" i="2"/>
  <c r="B23" i="2" s="1"/>
  <c r="D4" i="2"/>
  <c r="D3" i="2"/>
  <c r="E16" i="4"/>
  <c r="A15" i="3"/>
  <c r="H11" i="3" s="1"/>
  <c r="F10" i="3"/>
  <c r="B21" i="3"/>
  <c r="F19" i="3" s="1"/>
  <c r="G19" i="3" s="1"/>
  <c r="B20" i="3"/>
  <c r="F18" i="3" s="1"/>
  <c r="G18" i="3" s="1"/>
  <c r="E22" i="3" s="1"/>
  <c r="B12" i="2" l="1"/>
  <c r="E61" i="2" a="1"/>
  <c r="E61" i="2" s="1"/>
  <c r="E70" i="2" a="1"/>
  <c r="E70" i="2" s="1"/>
  <c r="C2" i="2"/>
  <c r="C39" i="2" s="1"/>
  <c r="B49" i="2"/>
  <c r="D1" i="2"/>
  <c r="D2" i="2"/>
  <c r="B11" i="2" s="1"/>
  <c r="B13" i="2"/>
  <c r="G40" i="2"/>
  <c r="F41" i="2" s="1"/>
  <c r="C40" i="2"/>
  <c r="B41" i="2" s="1"/>
  <c r="F11" i="3"/>
  <c r="A21" i="3"/>
  <c r="B40" i="2" l="1"/>
  <c r="E49" i="2" s="1"/>
  <c r="G39" i="2"/>
  <c r="C10" i="4"/>
  <c r="G49" i="2" a="1"/>
  <c r="B10" i="2"/>
  <c r="D23" i="2" a="1"/>
  <c r="A41" i="2"/>
  <c r="E50" i="2"/>
  <c r="F40" i="2"/>
  <c r="E41" i="2" s="1"/>
  <c r="F12" i="3"/>
  <c r="H12" i="3"/>
  <c r="J12" i="3"/>
  <c r="F11" i="2" l="1"/>
  <c r="F10" i="2"/>
  <c r="E23" i="2"/>
  <c r="F23" i="2"/>
  <c r="G23" i="2"/>
  <c r="D23" i="2"/>
  <c r="G50" i="2"/>
  <c r="G49" i="2"/>
  <c r="B56" i="2" l="1" a="1"/>
  <c r="C28" i="2" a="1"/>
  <c r="C29" i="2" l="1"/>
  <c r="C28" i="2"/>
  <c r="B57" i="2"/>
  <c r="E57" i="2" s="1"/>
  <c r="B59" i="2"/>
  <c r="E59" i="2" s="1"/>
  <c r="B58" i="2"/>
  <c r="E58" i="2" s="1"/>
  <c r="C57" i="2"/>
  <c r="C58" i="2"/>
  <c r="C56" i="2"/>
  <c r="C59" i="2"/>
  <c r="B56" i="2"/>
  <c r="E56" i="2" s="1"/>
  <c r="F26" i="2" l="1" a="1"/>
  <c r="F27" i="2" s="1"/>
  <c r="B65" i="2" a="1"/>
  <c r="G56" i="2" a="1"/>
  <c r="F26" i="2" l="1"/>
  <c r="B65" i="2"/>
  <c r="B66" i="2"/>
  <c r="B67" i="2"/>
  <c r="B68" i="2"/>
  <c r="G57" i="2"/>
  <c r="G56" i="2"/>
  <c r="G58" i="2"/>
  <c r="G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Rolf Poulsen</author>
  </authors>
  <commentList>
    <comment ref="A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Fundamentale definitioner af afkasrate og (betinget) middelværdi og spredning.</t>
        </r>
      </text>
    </comment>
    <comment ref="A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Formelt set Noternes Prop, 9 og 10 komineret med afsnit 3.2.  Men overordnet bare "fundamentalsætningerne"; reference ikke nødvendig.</t>
        </r>
      </text>
    </comment>
    <comment ref="A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5.1</t>
        </r>
      </text>
    </comment>
    <comment ref="A3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4.1</t>
        </r>
      </text>
    </comment>
    <comment ref="A4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4.1 + den generelle teori i afsnit 4.2-4.5</t>
        </r>
      </text>
    </comment>
    <comment ref="A5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2.7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Rolf Poulsen</author>
  </authors>
  <commentList>
    <comment ref="A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Afsnit 7.2</t>
        </r>
      </text>
    </comment>
    <comment ref="E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Afsnit 7.4</t>
        </r>
      </text>
    </comment>
  </commentList>
</comments>
</file>

<file path=xl/sharedStrings.xml><?xml version="1.0" encoding="utf-8"?>
<sst xmlns="http://schemas.openxmlformats.org/spreadsheetml/2006/main" count="142" uniqueCount="126">
  <si>
    <t xml:space="preserve"> </t>
  </si>
  <si>
    <t>P(0,1)</t>
  </si>
  <si>
    <t>P(0,2)</t>
  </si>
  <si>
    <t>P(0,3)</t>
  </si>
  <si>
    <t>q</t>
  </si>
  <si>
    <t>a</t>
  </si>
  <si>
    <t>b</t>
  </si>
  <si>
    <t>2a</t>
  </si>
  <si>
    <t>2c</t>
  </si>
  <si>
    <t>2d</t>
  </si>
  <si>
    <t>2b</t>
  </si>
  <si>
    <t>1a</t>
  </si>
  <si>
    <t>1b</t>
  </si>
  <si>
    <t>1c</t>
  </si>
  <si>
    <t>1d</t>
  </si>
  <si>
    <t>1e</t>
  </si>
  <si>
    <t>Tjek:</t>
  </si>
  <si>
    <t>Højreside</t>
  </si>
  <si>
    <t>rho</t>
  </si>
  <si>
    <t>swap(0,0,3)</t>
  </si>
  <si>
    <t>swap(0,0,1)</t>
  </si>
  <si>
    <t>swap(0,0,2)</t>
  </si>
  <si>
    <t>swap(0,1,2)</t>
  </si>
  <si>
    <t>swap(0,1,3)</t>
  </si>
  <si>
    <t>swap(0,2,3)</t>
  </si>
  <si>
    <t>Strike-rente</t>
  </si>
  <si>
    <t>Tid 1-swap-renter</t>
  </si>
  <si>
    <t>Tid 0-swaptionspris</t>
  </si>
  <si>
    <t>"op"</t>
  </si>
  <si>
    <t>"ned"</t>
  </si>
  <si>
    <t xml:space="preserve">Hvis swap-renten på tid T_I er &gt;= strike-renten, så kan vi tage en kort swap-position (eller: købe en reciever-swap). </t>
  </si>
  <si>
    <t>De fremtidige variable betalinger netter up, og på hver fremtidigt tidspunkt modtager vi forskellen mellem</t>
  </si>
  <si>
    <t>T_I-swap-renten og strike-renten - som er kendt på T_I. Værdien herfa får vi ved at  gange nko-priser på betalingerne</t>
  </si>
  <si>
    <t xml:space="preserve">og lægge det hele sammen. </t>
  </si>
  <si>
    <t>Hvis swap-renten på tid T_I er &lt; strike-renten, så smider vi vores swaption væk og gæør i øvrigt ingenting. Værdi = 0.</t>
  </si>
  <si>
    <t xml:space="preserve">Samles de to (udtømmende) tilfælde, da præcis det angivne udtryk. </t>
  </si>
  <si>
    <t>Odds</t>
  </si>
  <si>
    <t>Remain</t>
  </si>
  <si>
    <t>Leave</t>
  </si>
  <si>
    <t>USDGBP</t>
  </si>
  <si>
    <t>u</t>
  </si>
  <si>
    <t>d</t>
  </si>
  <si>
    <t>Cut</t>
  </si>
  <si>
    <t>R</t>
  </si>
  <si>
    <t>sigma</t>
  </si>
  <si>
    <t>alpha</t>
  </si>
  <si>
    <t>Afkastrate</t>
  </si>
  <si>
    <t>Betinget P-forventet værdi</t>
  </si>
  <si>
    <t>Betinget P-spredning</t>
  </si>
  <si>
    <t xml:space="preserve">Vi ser på </t>
  </si>
  <si>
    <t>den røde</t>
  </si>
  <si>
    <t>1-periode-delmodel</t>
  </si>
  <si>
    <t>Alle 1-periode-delmodeller på den røde er standard 1-periode-binomialmodeller</t>
  </si>
  <si>
    <t>med</t>
  </si>
  <si>
    <t>u=</t>
  </si>
  <si>
    <t>R=</t>
  </si>
  <si>
    <t>Så da q = (R-d)/(u-d)=</t>
  </si>
  <si>
    <t>, der ligger i ]0;1[, er modellerne arbitragefri.</t>
  </si>
  <si>
    <t>Vi tjekker arbitragefrihed og komplethed ved at tjekke alle 1-periode-delmodeller</t>
  </si>
  <si>
    <t>Disse modeller har 2 tilstande og en betalingsmatrice (D) med rang 2, så de er komplette.</t>
  </si>
  <si>
    <t>Den røde model har 4 tilstande og kun 2 aktiver, så (ogderfor hele modellen) er inkomplet.</t>
  </si>
  <si>
    <t>For at tjekke arbitragefrihed skal undersøge, om \pi = D \psi har en positiv (&gt;&gt;0) løsning, hvor</t>
  </si>
  <si>
    <t>pi=</t>
  </si>
  <si>
    <t>D=</t>
  </si>
  <si>
    <t>psi[3]</t>
  </si>
  <si>
    <t>psi[4]</t>
  </si>
  <si>
    <t>Vi prøver</t>
  </si>
  <si>
    <t>og løser</t>
  </si>
  <si>
    <t>psi[1]</t>
  </si>
  <si>
    <t>psi[2]</t>
  </si>
  <si>
    <t>hvilket viser, den røde model (og dermed hele modellen) er arbitragefri.</t>
  </si>
  <si>
    <t>Da der ikke er dividender samt konstant rente er Fwd(0,T) = R^T S(0), dvs.</t>
  </si>
  <si>
    <t>Fwd(0,1) =</t>
  </si>
  <si>
    <t>Fwd(0,2) =</t>
  </si>
  <si>
    <t>Fwd(0,3) =</t>
  </si>
  <si>
    <t>Da der ikke er dividende, virker vores carry-argument selv når der er entydighed, dvs. også</t>
  </si>
  <si>
    <t>Fwd(0,3) er entydigt bestemt blot ved fravær af arbitrage.</t>
  </si>
  <si>
    <t>Optionernes pris ved baglæns optrævling m/ pris(t) = (1/R)E_t^Q(pris(t+1))</t>
  </si>
  <si>
    <t>Call</t>
  </si>
  <si>
    <t>Put</t>
  </si>
  <si>
    <t>&lt;-tid</t>
  </si>
  <si>
    <t>Det er *ikke* noget tilfælde, call- og put-optionsprisen er den samme. Det gælder altid, når</t>
  </si>
  <si>
    <t>strike er lig forward-pris, jf. fx put/call-pariteten, som vi her kan skrive som</t>
  </si>
  <si>
    <t>call - put = R^-T (S(0)*R^T - K), og 1. led i parantesen på højresiden er jo forwardprisen.</t>
  </si>
  <si>
    <t>Vi finder og løser tid 0-til-1-replikationsligningerne for call-optionen:</t>
  </si>
  <si>
    <t>D^T</t>
  </si>
  <si>
    <t>&lt;- stk aktier</t>
  </si>
  <si>
    <t>&lt;- i banken</t>
  </si>
  <si>
    <t>løses tilsvarende ligningssystemer i de to tid 1-til-2-delmodeller.</t>
  </si>
  <si>
    <t>Man kan justere (selvfinansierinede) dynamisk og opnå replikation af pay-off; der skal blot</t>
  </si>
  <si>
    <t>1f</t>
  </si>
  <si>
    <t>Øvre grænse: Vi løser min_theta theta^T pi u.b. D^T theta &gt;= pay-off-vektor, hvor</t>
  </si>
  <si>
    <t>Pay-off</t>
  </si>
  <si>
    <t xml:space="preserve">Strike = </t>
  </si>
  <si>
    <t>D^T theta</t>
  </si>
  <si>
    <t>theta</t>
  </si>
  <si>
    <t>Kriterie</t>
  </si>
  <si>
    <t>&lt;- aktier</t>
  </si>
  <si>
    <t>&lt;- minimer m/ solver</t>
  </si>
  <si>
    <t>Nedre grænse: Vi løser max_theta^T pi u.b. D^T theta &lt;= pay-off</t>
  </si>
  <si>
    <t>Tilbage til den røde 1-periode-delmodel</t>
  </si>
  <si>
    <t>I besvarelsen betyder "noterne"</t>
  </si>
  <si>
    <t>Lando &amp; Poulsen (2018), "Finance 1 and Beyond"</t>
  </si>
  <si>
    <t>(Man kan bruge Excel indbygged fkt., men det</t>
  </si>
  <si>
    <t>skal være STDEV.P, ikke STDEV.S.)</t>
  </si>
  <si>
    <t>Referencer gives typisk som "comments" ved spg.-nr.; eksaminander behøver ikke give den slags.</t>
  </si>
  <si>
    <t>Swaptionspayoff</t>
  </si>
  <si>
    <t>Borrow (£)</t>
  </si>
  <si>
    <t>$ bet on Leave (residual)</t>
  </si>
  <si>
    <t>Check: Total cost in £</t>
  </si>
  <si>
    <t>£ payoff if Remain</t>
  </si>
  <si>
    <t>£ payoff if Leave</t>
  </si>
  <si>
    <t>&lt;- max-min via cell C8</t>
  </si>
  <si>
    <t>Looking for arbitrage (in £)</t>
  </si>
  <si>
    <t>Looking for arbitrage (in $)</t>
  </si>
  <si>
    <t>Borrow ($)</t>
  </si>
  <si>
    <t>Check: Total cost in $</t>
  </si>
  <si>
    <t>$ payoff if Leave</t>
  </si>
  <si>
    <t>&lt;- max-min via cell C20</t>
  </si>
  <si>
    <t>£ bet on Remain (free)</t>
  </si>
  <si>
    <t>$ bet on Leave (free)</t>
  </si>
  <si>
    <t>£ bet on Remain (residual)</t>
  </si>
  <si>
    <t>$ payoff if Remain</t>
  </si>
  <si>
    <t>dollar amount (0.25*1.45)=0.03625</t>
  </si>
  <si>
    <t>0.03628/(1/4.8)/1.35=1.2888 (? not 1.3385?)</t>
  </si>
  <si>
    <t>Is the conditional exchange rate 1.3 (instead of 135) indicated in the binomial tree?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</si>
</sst>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k_r_._-;\-* #,##0.00\ _k_r_._-;_-* &quot;-&quot;??\ _k_r_._-;_-@_-"/>
    <numFmt numFmtId="165" formatCode="0.000"/>
    <numFmt numFmtId="166" formatCode="0.0000"/>
    <numFmt numFmtId="167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164" fontId="9" fillId="0" borderId="0" applyFon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2" borderId="0" xfId="0" applyFont="1" applyFill="1"/>
    <xf numFmtId="2" fontId="0" fillId="0" borderId="0" xfId="0" applyNumberFormat="1"/>
    <xf numFmtId="165" fontId="1" fillId="2" borderId="0" xfId="0" applyNumberFormat="1" applyFont="1" applyFill="1"/>
    <xf numFmtId="0" fontId="3" fillId="0" borderId="0" xfId="0" applyFont="1"/>
    <xf numFmtId="0" fontId="2" fillId="0" borderId="0" xfId="0" applyFont="1"/>
    <xf numFmtId="166" fontId="1" fillId="2" borderId="5" xfId="0" applyNumberFormat="1" applyFont="1" applyFill="1" applyBorder="1"/>
    <xf numFmtId="0" fontId="2" fillId="0" borderId="4" xfId="0" applyFont="1" applyBorder="1"/>
    <xf numFmtId="0" fontId="2" fillId="3" borderId="1" xfId="0" applyFont="1" applyFill="1" applyBorder="1"/>
    <xf numFmtId="166" fontId="3" fillId="2" borderId="4" xfId="0" applyNumberFormat="1" applyFont="1" applyFill="1" applyBorder="1"/>
    <xf numFmtId="166" fontId="3" fillId="2" borderId="6" xfId="0" applyNumberFormat="1" applyFont="1" applyFill="1" applyBorder="1"/>
    <xf numFmtId="0" fontId="3" fillId="0" borderId="2" xfId="0" applyFont="1" applyBorder="1"/>
    <xf numFmtId="166" fontId="0" fillId="0" borderId="0" xfId="0" applyNumberFormat="1"/>
    <xf numFmtId="166" fontId="1" fillId="2" borderId="0" xfId="0" applyNumberFormat="1" applyFont="1" applyFill="1"/>
    <xf numFmtId="0" fontId="1" fillId="2" borderId="4" xfId="0" applyFont="1" applyFill="1" applyBorder="1"/>
    <xf numFmtId="166" fontId="1" fillId="2" borderId="7" xfId="0" applyNumberFormat="1" applyFont="1" applyFill="1" applyBorder="1"/>
    <xf numFmtId="166" fontId="1" fillId="2" borderId="6" xfId="0" applyNumberFormat="1" applyFont="1" applyFill="1" applyBorder="1"/>
    <xf numFmtId="16" fontId="0" fillId="0" borderId="4" xfId="0" applyNumberFormat="1" applyBorder="1"/>
    <xf numFmtId="166" fontId="0" fillId="0" borderId="5" xfId="0" applyNumberFormat="1" applyBorder="1"/>
    <xf numFmtId="0" fontId="0" fillId="4" borderId="2" xfId="0" applyFill="1" applyBorder="1"/>
    <xf numFmtId="2" fontId="1" fillId="2" borderId="0" xfId="0" applyNumberFormat="1" applyFont="1" applyFill="1"/>
    <xf numFmtId="0" fontId="4" fillId="0" borderId="4" xfId="0" applyFont="1" applyBorder="1"/>
    <xf numFmtId="0" fontId="5" fillId="0" borderId="0" xfId="0" applyFont="1"/>
    <xf numFmtId="0" fontId="4" fillId="0" borderId="0" xfId="0" applyFont="1"/>
    <xf numFmtId="0" fontId="4" fillId="0" borderId="0" xfId="0" quotePrefix="1" applyFont="1" applyAlignment="1">
      <alignment horizontal="right"/>
    </xf>
    <xf numFmtId="0" fontId="4" fillId="0" borderId="6" xfId="0" applyFont="1" applyBorder="1"/>
    <xf numFmtId="0" fontId="5" fillId="0" borderId="7" xfId="0" applyFont="1" applyBorder="1"/>
    <xf numFmtId="166" fontId="0" fillId="0" borderId="7" xfId="0" applyNumberFormat="1" applyBorder="1"/>
    <xf numFmtId="166" fontId="0" fillId="0" borderId="8" xfId="0" applyNumberFormat="1" applyBorder="1"/>
    <xf numFmtId="2" fontId="0" fillId="4" borderId="0" xfId="0" applyNumberFormat="1" applyFill="1"/>
    <xf numFmtId="0" fontId="6" fillId="0" borderId="0" xfId="1"/>
    <xf numFmtId="165" fontId="0" fillId="0" borderId="0" xfId="0" applyNumberFormat="1"/>
    <xf numFmtId="0" fontId="0" fillId="0" borderId="1" xfId="0" applyBorder="1"/>
    <xf numFmtId="167" fontId="1" fillId="2" borderId="0" xfId="0" applyNumberFormat="1" applyFont="1" applyFill="1"/>
    <xf numFmtId="166" fontId="1" fillId="5" borderId="0" xfId="0" applyNumberFormat="1" applyFont="1" applyFill="1"/>
    <xf numFmtId="166" fontId="1" fillId="5" borderId="7" xfId="2" applyNumberFormat="1" applyFont="1" applyFill="1" applyBorder="1" applyAlignment="1">
      <alignment horizontal="right"/>
    </xf>
  </cellXfs>
  <cellStyles count="3">
    <cellStyle name="Komma" xfId="2" builtinId="3"/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opbox.com/s/i0aglfrk9767w0j/MotherFile_RunMe.pdf?dl=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11" zoomScale="70" zoomScaleNormal="70" workbookViewId="0">
      <selection activeCell="D26" sqref="D26"/>
    </sheetView>
  </sheetViews>
  <sheetFormatPr defaultRowHeight="15" x14ac:dyDescent="0.25"/>
  <cols>
    <col min="1" max="1" width="9.85546875" customWidth="1"/>
    <col min="3" max="3" width="9.42578125" customWidth="1"/>
    <col min="5" max="5" width="13.28515625" customWidth="1"/>
    <col min="6" max="6" width="10.28515625" customWidth="1"/>
    <col min="7" max="7" width="8.140625" customWidth="1"/>
    <col min="8" max="8" width="14.5703125" customWidth="1"/>
    <col min="9" max="9" width="11.85546875" bestFit="1" customWidth="1"/>
  </cols>
  <sheetData>
    <row r="1" spans="1:9" x14ac:dyDescent="0.25">
      <c r="A1" s="10"/>
      <c r="B1" s="10"/>
      <c r="C1" s="10"/>
      <c r="D1" s="37">
        <f>C2*$I$3</f>
        <v>245.11549674821217</v>
      </c>
      <c r="E1" s="10"/>
    </row>
    <row r="2" spans="1:9" x14ac:dyDescent="0.25">
      <c r="A2" s="10"/>
      <c r="B2" s="10"/>
      <c r="C2" s="10">
        <f>B3*$I$3</f>
        <v>181.7944049052185</v>
      </c>
      <c r="D2" s="37">
        <f>C3*$I$3</f>
        <v>148.67006394848298</v>
      </c>
      <c r="E2" s="10"/>
      <c r="H2" t="s">
        <v>43</v>
      </c>
      <c r="I2">
        <v>1.03</v>
      </c>
    </row>
    <row r="3" spans="1:9" x14ac:dyDescent="0.25">
      <c r="A3" s="10"/>
      <c r="B3" s="10">
        <f>A4*$I$3</f>
        <v>134.83115548908512</v>
      </c>
      <c r="C3" s="37">
        <f>B4*$I$3</f>
        <v>110.26388033922778</v>
      </c>
      <c r="D3" s="37">
        <f>C4*$I$3</f>
        <v>90.17295196619277</v>
      </c>
      <c r="E3" s="10"/>
      <c r="F3" t="s">
        <v>44</v>
      </c>
      <c r="G3">
        <v>0.25</v>
      </c>
      <c r="H3" t="s">
        <v>40</v>
      </c>
      <c r="I3" s="20">
        <f>EXP(G3+G4)</f>
        <v>1.3483115548908513</v>
      </c>
    </row>
    <row r="4" spans="1:9" x14ac:dyDescent="0.25">
      <c r="A4" s="10">
        <v>100</v>
      </c>
      <c r="B4" s="10">
        <f>A4*$I$4</f>
        <v>81.779229688611451</v>
      </c>
      <c r="C4" s="10">
        <f>B4*$I$4</f>
        <v>66.878424084626687</v>
      </c>
      <c r="D4" s="37">
        <f>C4*$I$4</f>
        <v>54.692660044290498</v>
      </c>
      <c r="E4" s="10"/>
      <c r="F4" t="s">
        <v>45</v>
      </c>
      <c r="G4">
        <v>4.8853109591392579E-2</v>
      </c>
      <c r="H4" t="s">
        <v>41</v>
      </c>
      <c r="I4" s="20">
        <f>EXP(G4-G3)</f>
        <v>0.81779229688611454</v>
      </c>
    </row>
    <row r="5" spans="1:9" x14ac:dyDescent="0.25">
      <c r="H5" t="s">
        <v>4</v>
      </c>
      <c r="I5">
        <f>(I2-I4)/(I3-I4)</f>
        <v>0.39999999983410739</v>
      </c>
    </row>
    <row r="6" spans="1:9" x14ac:dyDescent="0.25">
      <c r="A6" t="s">
        <v>101</v>
      </c>
      <c r="D6" s="38" t="s">
        <v>102</v>
      </c>
    </row>
    <row r="7" spans="1:9" x14ac:dyDescent="0.25">
      <c r="A7" t="s">
        <v>105</v>
      </c>
      <c r="D7" s="38"/>
    </row>
    <row r="8" spans="1:9" ht="15.75" thickBot="1" x14ac:dyDescent="0.3"/>
    <row r="9" spans="1:9" ht="15.75" thickTop="1" x14ac:dyDescent="0.25">
      <c r="A9" s="8" t="s">
        <v>11</v>
      </c>
      <c r="B9" s="1" t="s">
        <v>49</v>
      </c>
      <c r="C9" s="27" t="s">
        <v>50</v>
      </c>
      <c r="D9" s="1" t="s">
        <v>51</v>
      </c>
      <c r="E9" s="1"/>
      <c r="F9" s="2"/>
    </row>
    <row r="10" spans="1:9" x14ac:dyDescent="0.25">
      <c r="A10" s="3" t="s">
        <v>46</v>
      </c>
      <c r="B10">
        <f>(D1-$C$3)/$C$3</f>
        <v>1.2229899400793101</v>
      </c>
      <c r="C10" t="s">
        <v>47</v>
      </c>
      <c r="F10" s="26">
        <f>AVERAGE(B10:B13)</f>
        <v>0.22127747329863012</v>
      </c>
    </row>
    <row r="11" spans="1:9" x14ac:dyDescent="0.25">
      <c r="A11" s="3"/>
      <c r="B11">
        <f>(D2-$C$3)/$C$3</f>
        <v>0.34831155489085125</v>
      </c>
      <c r="C11" t="s">
        <v>48</v>
      </c>
      <c r="F11" s="14">
        <f>_xlfn.STDEV.P(B10:B13)</f>
        <v>0.65352311918407169</v>
      </c>
    </row>
    <row r="12" spans="1:9" x14ac:dyDescent="0.25">
      <c r="A12" s="3"/>
      <c r="B12">
        <f>(D3-$C$3)/$C$3</f>
        <v>-0.18220770311388551</v>
      </c>
      <c r="C12" t="s">
        <v>103</v>
      </c>
      <c r="F12" s="4"/>
    </row>
    <row r="13" spans="1:9" ht="15.75" thickBot="1" x14ac:dyDescent="0.3">
      <c r="A13" s="5"/>
      <c r="B13" s="6">
        <f>(D4-$C$3)/$C$3</f>
        <v>-0.5039838986617553</v>
      </c>
      <c r="C13" s="6" t="s">
        <v>104</v>
      </c>
      <c r="D13" s="6"/>
      <c r="E13" s="6"/>
      <c r="F13" s="7"/>
    </row>
    <row r="14" spans="1:9" ht="16.5" thickTop="1" thickBot="1" x14ac:dyDescent="0.3"/>
    <row r="15" spans="1:9" ht="15.75" thickTop="1" x14ac:dyDescent="0.25">
      <c r="A15" s="8" t="s">
        <v>12</v>
      </c>
      <c r="B15" s="1" t="s">
        <v>58</v>
      </c>
      <c r="C15" s="1"/>
      <c r="D15" s="1"/>
      <c r="E15" s="1"/>
      <c r="F15" s="1"/>
      <c r="G15" s="1"/>
      <c r="H15" s="2"/>
    </row>
    <row r="16" spans="1:9" x14ac:dyDescent="0.25">
      <c r="A16" s="3" t="s">
        <v>52</v>
      </c>
      <c r="H16" s="4"/>
    </row>
    <row r="17" spans="1:8" x14ac:dyDescent="0.25">
      <c r="A17" s="3" t="s">
        <v>53</v>
      </c>
      <c r="B17" t="s">
        <v>54</v>
      </c>
      <c r="C17" s="20">
        <f>I3</f>
        <v>1.3483115548908513</v>
      </c>
      <c r="D17" t="s">
        <v>55</v>
      </c>
      <c r="E17">
        <f>I2</f>
        <v>1.03</v>
      </c>
      <c r="F17" t="s">
        <v>41</v>
      </c>
      <c r="G17" s="20">
        <f>I4</f>
        <v>0.81779229688611454</v>
      </c>
      <c r="H17" s="4"/>
    </row>
    <row r="18" spans="1:8" x14ac:dyDescent="0.25">
      <c r="A18" s="3" t="s">
        <v>56</v>
      </c>
      <c r="C18" s="9">
        <f>I5</f>
        <v>0.39999999983410739</v>
      </c>
      <c r="D18" t="s">
        <v>57</v>
      </c>
      <c r="H18" s="4"/>
    </row>
    <row r="19" spans="1:8" x14ac:dyDescent="0.25">
      <c r="A19" s="3" t="s">
        <v>59</v>
      </c>
      <c r="H19" s="4"/>
    </row>
    <row r="20" spans="1:8" x14ac:dyDescent="0.25">
      <c r="A20" s="3"/>
      <c r="H20" s="4"/>
    </row>
    <row r="21" spans="1:8" x14ac:dyDescent="0.25">
      <c r="A21" s="3" t="s">
        <v>60</v>
      </c>
      <c r="H21" s="4"/>
    </row>
    <row r="22" spans="1:8" x14ac:dyDescent="0.25">
      <c r="A22" s="3" t="s">
        <v>61</v>
      </c>
      <c r="H22" s="4"/>
    </row>
    <row r="23" spans="1:8" x14ac:dyDescent="0.25">
      <c r="A23" s="3" t="s">
        <v>62</v>
      </c>
      <c r="B23" s="10">
        <f>C3</f>
        <v>110.26388033922778</v>
      </c>
      <c r="C23" t="s">
        <v>63</v>
      </c>
      <c r="D23">
        <f t="array" ref="D23:G23">TRANSPOSE(D1:D4)</f>
        <v>245.11549674821217</v>
      </c>
      <c r="E23">
        <v>148.67006394848298</v>
      </c>
      <c r="F23">
        <v>90.17295196619277</v>
      </c>
      <c r="G23">
        <v>54.692660044290498</v>
      </c>
      <c r="H23" s="4"/>
    </row>
    <row r="24" spans="1:8" x14ac:dyDescent="0.25">
      <c r="A24" s="3"/>
      <c r="B24">
        <v>1</v>
      </c>
      <c r="D24">
        <f>$I$2</f>
        <v>1.03</v>
      </c>
      <c r="E24">
        <f>$I$2</f>
        <v>1.03</v>
      </c>
      <c r="F24">
        <f>$I$2</f>
        <v>1.03</v>
      </c>
      <c r="G24">
        <f>$I$2</f>
        <v>1.03</v>
      </c>
      <c r="H24" s="4"/>
    </row>
    <row r="25" spans="1:8" x14ac:dyDescent="0.25">
      <c r="A25" s="3"/>
      <c r="H25" s="4"/>
    </row>
    <row r="26" spans="1:8" x14ac:dyDescent="0.25">
      <c r="A26" s="3" t="s">
        <v>66</v>
      </c>
      <c r="B26" t="s">
        <v>68</v>
      </c>
      <c r="C26">
        <v>0.15</v>
      </c>
      <c r="E26" t="s">
        <v>16</v>
      </c>
      <c r="F26">
        <f t="array" ref="F26:F27">MMULT(D23:G24,C26:C29)</f>
        <v>110.26388033922777</v>
      </c>
      <c r="H26" s="4"/>
    </row>
    <row r="27" spans="1:8" x14ac:dyDescent="0.25">
      <c r="A27" s="3"/>
      <c r="B27" t="s">
        <v>69</v>
      </c>
      <c r="C27">
        <v>0.25</v>
      </c>
      <c r="F27">
        <v>0.99999999999999978</v>
      </c>
      <c r="H27" s="4"/>
    </row>
    <row r="28" spans="1:8" x14ac:dyDescent="0.25">
      <c r="A28" s="3" t="s">
        <v>67</v>
      </c>
      <c r="B28" t="s">
        <v>64</v>
      </c>
      <c r="C28">
        <f t="array" ref="C28:C29">MMULT(MINVERSE(F23:G24),B23:B24-MMULT(D23:E24,C26:C27))</f>
        <v>0.14392310871957836</v>
      </c>
      <c r="H28" s="4"/>
    </row>
    <row r="29" spans="1:8" x14ac:dyDescent="0.25">
      <c r="A29" s="3"/>
      <c r="B29" t="s">
        <v>65</v>
      </c>
      <c r="C29">
        <v>0.4269506776881884</v>
      </c>
      <c r="H29" s="4"/>
    </row>
    <row r="30" spans="1:8" ht="15.75" thickBot="1" x14ac:dyDescent="0.3">
      <c r="A30" s="5" t="s">
        <v>70</v>
      </c>
      <c r="B30" s="6"/>
      <c r="C30" s="6"/>
      <c r="D30" s="6"/>
      <c r="E30" s="6"/>
      <c r="F30" s="6"/>
      <c r="G30" s="6"/>
      <c r="H30" s="7"/>
    </row>
    <row r="31" spans="1:8" ht="16.5" thickTop="1" thickBot="1" x14ac:dyDescent="0.3"/>
    <row r="32" spans="1:8" ht="15.75" thickTop="1" x14ac:dyDescent="0.25">
      <c r="A32" s="8" t="s">
        <v>13</v>
      </c>
      <c r="B32" s="1" t="s">
        <v>71</v>
      </c>
      <c r="C32" s="1"/>
      <c r="D32" s="1"/>
      <c r="E32" s="1"/>
      <c r="F32" s="1"/>
      <c r="G32" s="1"/>
      <c r="H32" s="2"/>
    </row>
    <row r="33" spans="1:8" x14ac:dyDescent="0.25">
      <c r="A33" s="22" t="s">
        <v>72</v>
      </c>
      <c r="B33" s="9">
        <f>A4*I2</f>
        <v>103</v>
      </c>
      <c r="C33" s="9" t="s">
        <v>73</v>
      </c>
      <c r="D33" s="9">
        <f>A4*I2^2</f>
        <v>106.08999999999999</v>
      </c>
      <c r="E33" s="9" t="s">
        <v>74</v>
      </c>
      <c r="F33" s="9">
        <f>A4*I2^3</f>
        <v>109.2727</v>
      </c>
      <c r="H33" s="4"/>
    </row>
    <row r="34" spans="1:8" x14ac:dyDescent="0.25">
      <c r="A34" s="3" t="s">
        <v>75</v>
      </c>
      <c r="H34" s="4"/>
    </row>
    <row r="35" spans="1:8" ht="15.75" thickBot="1" x14ac:dyDescent="0.3">
      <c r="A35" s="5" t="s">
        <v>76</v>
      </c>
      <c r="B35" s="6"/>
      <c r="C35" s="6"/>
      <c r="D35" s="6"/>
      <c r="E35" s="6"/>
      <c r="F35" s="6"/>
      <c r="G35" s="6"/>
      <c r="H35" s="7"/>
    </row>
    <row r="36" spans="1:8" ht="16.5" thickTop="1" thickBot="1" x14ac:dyDescent="0.3"/>
    <row r="37" spans="1:8" ht="15.75" thickTop="1" x14ac:dyDescent="0.25">
      <c r="A37" s="8" t="s">
        <v>14</v>
      </c>
      <c r="B37" s="1" t="s">
        <v>77</v>
      </c>
      <c r="C37" s="1"/>
      <c r="D37" s="1"/>
      <c r="E37" s="1"/>
      <c r="F37" s="1"/>
      <c r="G37" s="1"/>
      <c r="H37" s="2"/>
    </row>
    <row r="38" spans="1:8" x14ac:dyDescent="0.25">
      <c r="A38" s="3" t="s">
        <v>78</v>
      </c>
      <c r="E38" t="s">
        <v>79</v>
      </c>
      <c r="H38" s="4"/>
    </row>
    <row r="39" spans="1:8" x14ac:dyDescent="0.25">
      <c r="A39" s="3"/>
      <c r="C39">
        <f>MAX(C2-$D$33,0)</f>
        <v>75.70440490521851</v>
      </c>
      <c r="G39">
        <f>MAX($D$33-C2,0)</f>
        <v>0</v>
      </c>
      <c r="H39" s="4"/>
    </row>
    <row r="40" spans="1:8" x14ac:dyDescent="0.25">
      <c r="A40" s="3"/>
      <c r="B40">
        <f>($C$18*C39+(1-$C$18)*C40)/$I$2</f>
        <v>31.831155489085138</v>
      </c>
      <c r="C40">
        <f>MAX(C3-$D$33,0)</f>
        <v>4.173880339227793</v>
      </c>
      <c r="F40">
        <f>($C$18*G39+(1-$C$18)*G40)/$I$2</f>
        <v>0</v>
      </c>
      <c r="G40">
        <f>MAX($D$33-C3,0)</f>
        <v>0</v>
      </c>
      <c r="H40" s="4"/>
    </row>
    <row r="41" spans="1:8" x14ac:dyDescent="0.25">
      <c r="A41" s="22">
        <f>($C$18*B40+(1-$C$18)*B41)/$I$2</f>
        <v>13.305841584824483</v>
      </c>
      <c r="B41">
        <f>($C$18*C40+(1-$C$18)*C41)/$I$2</f>
        <v>1.6209244029113603</v>
      </c>
      <c r="C41">
        <f>MAX(C4-$D$33,0)</f>
        <v>0</v>
      </c>
      <c r="E41" s="9">
        <f>($C$18*F40+(1-$C$18)*F41)/$I$2</f>
        <v>13.305841584824472</v>
      </c>
      <c r="F41">
        <f>($C$18*G40+(1-$C$18)*G41)/$I$2</f>
        <v>22.841694714299898</v>
      </c>
      <c r="G41">
        <f>MAX($D$33-C4,0)</f>
        <v>39.211575915373302</v>
      </c>
      <c r="H41" s="4"/>
    </row>
    <row r="42" spans="1:8" x14ac:dyDescent="0.25">
      <c r="A42" s="3">
        <v>0</v>
      </c>
      <c r="B42">
        <v>1</v>
      </c>
      <c r="C42">
        <v>2</v>
      </c>
      <c r="E42">
        <v>0</v>
      </c>
      <c r="F42">
        <v>1</v>
      </c>
      <c r="G42">
        <v>2</v>
      </c>
      <c r="H42" s="4" t="s">
        <v>80</v>
      </c>
    </row>
    <row r="43" spans="1:8" x14ac:dyDescent="0.25">
      <c r="A43" s="3" t="s">
        <v>81</v>
      </c>
      <c r="H43" s="4"/>
    </row>
    <row r="44" spans="1:8" x14ac:dyDescent="0.25">
      <c r="A44" s="3" t="s">
        <v>82</v>
      </c>
      <c r="H44" s="4"/>
    </row>
    <row r="45" spans="1:8" ht="15.75" thickBot="1" x14ac:dyDescent="0.3">
      <c r="A45" s="5" t="s">
        <v>83</v>
      </c>
      <c r="B45" s="6"/>
      <c r="C45" s="6"/>
      <c r="D45" s="6"/>
      <c r="E45" s="6"/>
      <c r="F45" s="6"/>
      <c r="G45" s="6"/>
      <c r="H45" s="7"/>
    </row>
    <row r="46" spans="1:8" ht="16.5" thickTop="1" thickBot="1" x14ac:dyDescent="0.3"/>
    <row r="47" spans="1:8" ht="15.75" thickTop="1" x14ac:dyDescent="0.25">
      <c r="A47" s="8" t="s">
        <v>15</v>
      </c>
      <c r="B47" s="1" t="s">
        <v>84</v>
      </c>
      <c r="C47" s="1"/>
      <c r="D47" s="1"/>
      <c r="E47" s="1"/>
      <c r="F47" s="1"/>
      <c r="G47" s="1"/>
      <c r="H47" s="2"/>
    </row>
    <row r="48" spans="1:8" x14ac:dyDescent="0.25">
      <c r="A48" s="3"/>
      <c r="H48" s="4"/>
    </row>
    <row r="49" spans="1:8" x14ac:dyDescent="0.25">
      <c r="A49" s="3" t="s">
        <v>85</v>
      </c>
      <c r="B49">
        <f>B3</f>
        <v>134.83115548908512</v>
      </c>
      <c r="C49">
        <f>$I$2</f>
        <v>1.03</v>
      </c>
      <c r="D49" t="s">
        <v>17</v>
      </c>
      <c r="E49">
        <f>B40</f>
        <v>31.831155489085138</v>
      </c>
      <c r="F49" t="s">
        <v>5</v>
      </c>
      <c r="G49" s="9">
        <f t="array" ref="G49:G50">MMULT(MINVERSE(B49:C50),E49:E50)</f>
        <v>0.56944645515401904</v>
      </c>
      <c r="H49" s="4" t="s">
        <v>86</v>
      </c>
    </row>
    <row r="50" spans="1:8" x14ac:dyDescent="0.25">
      <c r="A50" s="3"/>
      <c r="B50">
        <f>B4</f>
        <v>81.779229688611451</v>
      </c>
      <c r="C50">
        <f>C49</f>
        <v>1.03</v>
      </c>
      <c r="E50">
        <f>B41</f>
        <v>1.6209244029113603</v>
      </c>
      <c r="F50" t="s">
        <v>6</v>
      </c>
      <c r="G50" s="9">
        <v>-43.638803930577424</v>
      </c>
      <c r="H50" s="4" t="s">
        <v>87</v>
      </c>
    </row>
    <row r="51" spans="1:8" x14ac:dyDescent="0.25">
      <c r="A51" s="3" t="s">
        <v>89</v>
      </c>
      <c r="H51" s="4"/>
    </row>
    <row r="52" spans="1:8" ht="15.75" thickBot="1" x14ac:dyDescent="0.3">
      <c r="A52" s="5" t="s">
        <v>88</v>
      </c>
      <c r="B52" s="6"/>
      <c r="C52" s="6"/>
      <c r="D52" s="6"/>
      <c r="E52" s="6"/>
      <c r="F52" s="6"/>
      <c r="G52" s="6"/>
      <c r="H52" s="7"/>
    </row>
    <row r="53" spans="1:8" ht="16.5" thickTop="1" thickBot="1" x14ac:dyDescent="0.3"/>
    <row r="54" spans="1:8" ht="15.75" thickTop="1" x14ac:dyDescent="0.25">
      <c r="A54" s="8" t="s">
        <v>90</v>
      </c>
      <c r="B54" s="1" t="s">
        <v>93</v>
      </c>
      <c r="C54" s="1">
        <v>120</v>
      </c>
      <c r="D54" s="1"/>
      <c r="E54" s="1" t="s">
        <v>100</v>
      </c>
      <c r="F54" s="1"/>
      <c r="G54" s="1"/>
      <c r="H54" s="2"/>
    </row>
    <row r="55" spans="1:8" x14ac:dyDescent="0.25">
      <c r="A55" s="3" t="s">
        <v>91</v>
      </c>
      <c r="H55" s="4"/>
    </row>
    <row r="56" spans="1:8" x14ac:dyDescent="0.25">
      <c r="A56" s="3" t="s">
        <v>85</v>
      </c>
      <c r="B56">
        <f t="array" ref="B56:C59">TRANSPOSE(D23:G24)</f>
        <v>245.11549674821217</v>
      </c>
      <c r="C56">
        <v>1.03</v>
      </c>
      <c r="D56" t="s">
        <v>92</v>
      </c>
      <c r="E56">
        <f>MAX(B56-$C$54,0)</f>
        <v>125.11549674821217</v>
      </c>
      <c r="F56" t="s">
        <v>94</v>
      </c>
      <c r="G56">
        <f t="array" ref="G56:G59">MMULT(B56:C59,B61:B62)</f>
        <v>125.11549674821217</v>
      </c>
      <c r="H56" s="4"/>
    </row>
    <row r="57" spans="1:8" x14ac:dyDescent="0.25">
      <c r="A57" s="3"/>
      <c r="B57">
        <v>148.67006394848298</v>
      </c>
      <c r="C57">
        <v>1.03</v>
      </c>
      <c r="E57">
        <f>MAX(B57-$C$54,0)</f>
        <v>28.670063948482976</v>
      </c>
      <c r="G57">
        <v>61.746951028055285</v>
      </c>
      <c r="H57" s="4"/>
    </row>
    <row r="58" spans="1:8" x14ac:dyDescent="0.25">
      <c r="A58" s="3"/>
      <c r="B58">
        <v>90.17295196619277</v>
      </c>
      <c r="C58">
        <v>1.03</v>
      </c>
      <c r="E58">
        <f>MAX(B58-$C$54,0)</f>
        <v>0</v>
      </c>
      <c r="G58">
        <v>23.31198518737834</v>
      </c>
      <c r="H58" s="4"/>
    </row>
    <row r="59" spans="1:8" x14ac:dyDescent="0.25">
      <c r="A59" s="3"/>
      <c r="B59">
        <v>54.692660044290498</v>
      </c>
      <c r="C59">
        <v>1.03</v>
      </c>
      <c r="E59">
        <f>MAX(B59-$C$54,0)</f>
        <v>0</v>
      </c>
      <c r="G59">
        <v>2.8421709430404007E-14</v>
      </c>
      <c r="H59" s="4"/>
    </row>
    <row r="60" spans="1:8" x14ac:dyDescent="0.25">
      <c r="A60" s="3"/>
      <c r="H60" s="4"/>
    </row>
    <row r="61" spans="1:8" x14ac:dyDescent="0.25">
      <c r="A61" s="3" t="s">
        <v>95</v>
      </c>
      <c r="B61">
        <v>0.65704039974337514</v>
      </c>
      <c r="C61" t="s">
        <v>97</v>
      </c>
      <c r="D61" t="s">
        <v>96</v>
      </c>
      <c r="E61" s="28">
        <f t="array" ref="E61">MMULT(TRANSPOSE(B61:B62),$B$23:$B$24)</f>
        <v>37.55919564783791</v>
      </c>
      <c r="F61" t="s">
        <v>98</v>
      </c>
      <c r="H61" s="4"/>
    </row>
    <row r="62" spans="1:8" x14ac:dyDescent="0.25">
      <c r="A62" s="3"/>
      <c r="B62">
        <v>-34.888628367503998</v>
      </c>
      <c r="C62" t="s">
        <v>87</v>
      </c>
      <c r="H62" s="4"/>
    </row>
    <row r="63" spans="1:8" x14ac:dyDescent="0.25">
      <c r="A63" s="3"/>
      <c r="H63" s="4"/>
    </row>
    <row r="64" spans="1:8" x14ac:dyDescent="0.25">
      <c r="A64" s="3" t="s">
        <v>99</v>
      </c>
      <c r="H64" s="4"/>
    </row>
    <row r="65" spans="1:8" x14ac:dyDescent="0.25">
      <c r="A65" s="3" t="s">
        <v>94</v>
      </c>
      <c r="B65">
        <f t="array" ref="B65:B68">MMULT(B56:C59,B70:B71)</f>
        <v>75.939008212679795</v>
      </c>
      <c r="H65" s="4"/>
    </row>
    <row r="66" spans="1:8" x14ac:dyDescent="0.25">
      <c r="A66" s="3"/>
      <c r="B66">
        <v>28.670063948483026</v>
      </c>
      <c r="H66" s="4"/>
    </row>
    <row r="67" spans="1:8" x14ac:dyDescent="0.25">
      <c r="A67" s="3"/>
      <c r="B67">
        <v>4.9737991503207013E-14</v>
      </c>
      <c r="H67" s="4"/>
    </row>
    <row r="68" spans="1:8" x14ac:dyDescent="0.25">
      <c r="A68" s="3"/>
      <c r="B68">
        <v>-17.389272800676711</v>
      </c>
      <c r="H68" s="4"/>
    </row>
    <row r="69" spans="1:8" x14ac:dyDescent="0.25">
      <c r="A69" s="3"/>
      <c r="H69" s="4"/>
    </row>
    <row r="70" spans="1:8" x14ac:dyDescent="0.25">
      <c r="A70" s="3" t="s">
        <v>95</v>
      </c>
      <c r="B70">
        <v>0.49011075892366668</v>
      </c>
      <c r="C70" t="s">
        <v>97</v>
      </c>
      <c r="D70" t="s">
        <v>96</v>
      </c>
      <c r="E70" s="11">
        <f t="array" ref="E70">MMULT(TRANSPOSE(B70:B71),$B$23:$B$24)</f>
        <v>11.134005412269019</v>
      </c>
      <c r="H70" s="4"/>
    </row>
    <row r="71" spans="1:8" ht="15.75" thickBot="1" x14ac:dyDescent="0.3">
      <c r="A71" s="5"/>
      <c r="B71" s="6">
        <v>-42.90750866265828</v>
      </c>
      <c r="C71" s="6" t="s">
        <v>87</v>
      </c>
      <c r="D71" s="6"/>
      <c r="E71" s="6"/>
      <c r="F71" s="6"/>
      <c r="G71" s="6"/>
      <c r="H71" s="7"/>
    </row>
    <row r="72" spans="1:8" ht="15.75" thickTop="1" x14ac:dyDescent="0.25"/>
  </sheetData>
  <hyperlinks>
    <hyperlink ref="D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9" zoomScale="93" zoomScaleNormal="93" workbookViewId="0">
      <selection activeCell="D18" sqref="D18"/>
    </sheetView>
  </sheetViews>
  <sheetFormatPr defaultRowHeight="15" x14ac:dyDescent="0.25"/>
  <cols>
    <col min="1" max="1" width="12.5703125" customWidth="1"/>
    <col min="2" max="2" width="8.85546875" bestFit="1" customWidth="1"/>
    <col min="3" max="3" width="11.140625" customWidth="1"/>
    <col min="4" max="4" width="7.5703125" customWidth="1"/>
    <col min="5" max="5" width="11.42578125" customWidth="1"/>
    <col min="7" max="7" width="12.7109375" customWidth="1"/>
    <col min="8" max="8" width="6.85546875" customWidth="1"/>
    <col min="9" max="9" width="11" customWidth="1"/>
    <col min="10" max="10" width="7.140625" customWidth="1"/>
  </cols>
  <sheetData>
    <row r="1" spans="1:10" x14ac:dyDescent="0.25">
      <c r="A1" t="s">
        <v>18</v>
      </c>
      <c r="C1">
        <v>0.05</v>
      </c>
    </row>
    <row r="2" spans="1:10" x14ac:dyDescent="0.25">
      <c r="B2">
        <v>0.03</v>
      </c>
      <c r="C2">
        <v>0.02</v>
      </c>
    </row>
    <row r="3" spans="1:10" x14ac:dyDescent="0.25">
      <c r="A3">
        <v>0.01</v>
      </c>
      <c r="B3">
        <v>-0.01</v>
      </c>
      <c r="C3">
        <v>0</v>
      </c>
    </row>
    <row r="5" spans="1:10" x14ac:dyDescent="0.25">
      <c r="A5" t="s">
        <v>4</v>
      </c>
      <c r="B5">
        <v>0.5</v>
      </c>
    </row>
    <row r="6" spans="1:10" x14ac:dyDescent="0.25">
      <c r="A6">
        <v>0.6</v>
      </c>
      <c r="B6">
        <v>0.7</v>
      </c>
    </row>
    <row r="7" spans="1:10" ht="15.75" thickBot="1" x14ac:dyDescent="0.3"/>
    <row r="8" spans="1:10" ht="15.75" thickTop="1" x14ac:dyDescent="0.25">
      <c r="A8" s="8" t="s">
        <v>7</v>
      </c>
      <c r="B8" s="1"/>
      <c r="C8" s="2"/>
      <c r="E8" s="16" t="s">
        <v>10</v>
      </c>
      <c r="F8" s="1"/>
      <c r="G8" s="1"/>
      <c r="H8" s="1"/>
      <c r="I8" s="1"/>
      <c r="J8" s="2"/>
    </row>
    <row r="9" spans="1:10" x14ac:dyDescent="0.25">
      <c r="A9" s="3" t="s">
        <v>1</v>
      </c>
      <c r="C9" s="4"/>
      <c r="E9" s="15"/>
      <c r="J9" s="4"/>
    </row>
    <row r="10" spans="1:10" x14ac:dyDescent="0.25">
      <c r="A10" s="17">
        <f>1/(1+A3)</f>
        <v>0.99009900990099009</v>
      </c>
      <c r="C10" s="4"/>
      <c r="E10" s="29" t="s">
        <v>20</v>
      </c>
      <c r="F10" s="21">
        <f>(1-A10)/(A10)</f>
        <v>1.0000000000000009E-2</v>
      </c>
      <c r="J10" s="4"/>
    </row>
    <row r="11" spans="1:10" x14ac:dyDescent="0.25">
      <c r="A11" s="3"/>
      <c r="C11" s="4"/>
      <c r="E11" s="29" t="s">
        <v>21</v>
      </c>
      <c r="F11" s="21">
        <f>(1-A15)/(A10+A15)</f>
        <v>1.1796909710223603E-2</v>
      </c>
      <c r="G11" t="s">
        <v>22</v>
      </c>
      <c r="H11" s="20">
        <f>(A10-A15)/(A15)</f>
        <v>1.3618290258449246E-2</v>
      </c>
      <c r="J11" s="4"/>
    </row>
    <row r="12" spans="1:10" ht="15.75" thickBot="1" x14ac:dyDescent="0.3">
      <c r="A12" s="3" t="s">
        <v>2</v>
      </c>
      <c r="C12" s="4"/>
      <c r="E12" s="33" t="s">
        <v>19</v>
      </c>
      <c r="F12" s="23">
        <f>(1-A21)/(A10+A15+A21)</f>
        <v>1.6472718537350262E-2</v>
      </c>
      <c r="G12" s="6" t="s">
        <v>23</v>
      </c>
      <c r="H12" s="35">
        <f>(A10-A21)/(A15+A21)</f>
        <v>1.9795464121752506E-2</v>
      </c>
      <c r="I12" s="6" t="s">
        <v>24</v>
      </c>
      <c r="J12" s="36">
        <f>(A15-A21)/A21</f>
        <v>2.6134072695854264E-2</v>
      </c>
    </row>
    <row r="13" spans="1:10" ht="16.5" thickTop="1" thickBot="1" x14ac:dyDescent="0.3">
      <c r="A13" s="3"/>
      <c r="C13" s="4">
        <v>1</v>
      </c>
      <c r="D13" s="12"/>
    </row>
    <row r="14" spans="1:10" ht="15.75" thickTop="1" x14ac:dyDescent="0.25">
      <c r="A14" s="3"/>
      <c r="B14">
        <f>(B5*C13+(1-B5)*C14)/(1+B2)</f>
        <v>0.970873786407767</v>
      </c>
      <c r="C14" s="4">
        <v>1</v>
      </c>
      <c r="D14" s="12"/>
      <c r="E14" s="16" t="s">
        <v>9</v>
      </c>
      <c r="F14" s="19"/>
      <c r="G14" s="1"/>
      <c r="H14" s="2"/>
    </row>
    <row r="15" spans="1:10" x14ac:dyDescent="0.25">
      <c r="A15" s="17">
        <f>(A6*B14+(1-A6)*B15)/(1+A3)</f>
        <v>0.97679670879709335</v>
      </c>
      <c r="B15">
        <f>(B6*C14+(1-B6)*C15)/(1+B3)</f>
        <v>1.0101010101010102</v>
      </c>
      <c r="C15" s="4">
        <v>1</v>
      </c>
      <c r="D15" s="12"/>
      <c r="E15" s="3" t="s">
        <v>25</v>
      </c>
      <c r="F15">
        <v>0.02</v>
      </c>
      <c r="H15" s="4"/>
    </row>
    <row r="16" spans="1:10" x14ac:dyDescent="0.25">
      <c r="A16" s="3"/>
      <c r="C16" s="4"/>
      <c r="E16" s="3"/>
      <c r="H16" s="4"/>
    </row>
    <row r="17" spans="1:12" x14ac:dyDescent="0.25">
      <c r="A17" s="3" t="s">
        <v>3</v>
      </c>
      <c r="C17" s="4"/>
      <c r="E17" s="3" t="s">
        <v>26</v>
      </c>
      <c r="G17" t="s">
        <v>106</v>
      </c>
      <c r="H17" s="4"/>
    </row>
    <row r="18" spans="1:12" x14ac:dyDescent="0.25">
      <c r="A18" s="3"/>
      <c r="C18" s="4"/>
      <c r="E18" s="3" t="s">
        <v>28</v>
      </c>
      <c r="F18" s="20">
        <f>(1-B20)/(B14+B20)</f>
        <v>3.235042735042739E-2</v>
      </c>
      <c r="G18" s="20">
        <f>MAX(F18-$F$15,0)*(B14+B20)</f>
        <v>2.35783633841887E-2</v>
      </c>
      <c r="H18" s="4"/>
    </row>
    <row r="19" spans="1:12" x14ac:dyDescent="0.25">
      <c r="A19" s="3"/>
      <c r="C19" s="4">
        <f>1/(1+C1)</f>
        <v>0.95238095238095233</v>
      </c>
      <c r="E19" s="3" t="s">
        <v>29</v>
      </c>
      <c r="F19" s="20">
        <f>(1-B21)/(B15+B21)</f>
        <v>1.8756169792695371E-3</v>
      </c>
      <c r="G19">
        <f>MAX(F19-$F$15,0)*(B15+B21)</f>
        <v>0</v>
      </c>
      <c r="H19" s="4"/>
      <c r="L19" t="s">
        <v>0</v>
      </c>
    </row>
    <row r="20" spans="1:12" x14ac:dyDescent="0.25">
      <c r="A20" s="3"/>
      <c r="B20">
        <f>(B5*C19+(1-B5)*C20)/(1+B2)</f>
        <v>0.93823937341927055</v>
      </c>
      <c r="C20" s="4">
        <f>1/(1+C2)</f>
        <v>0.98039215686274506</v>
      </c>
      <c r="E20" s="3"/>
      <c r="H20" s="4"/>
    </row>
    <row r="21" spans="1:12" ht="15.75" thickBot="1" x14ac:dyDescent="0.3">
      <c r="A21" s="18">
        <f>(A6*B20+(1-A6)*B21)/(1+A3)</f>
        <v>0.95191918365098038</v>
      </c>
      <c r="B21" s="6">
        <f>(B6*C20+(1-B6)*C21)/(1+B3)</f>
        <v>0.99623687858981969</v>
      </c>
      <c r="C21" s="7">
        <f>1/(1+C3)</f>
        <v>1</v>
      </c>
      <c r="E21" s="3" t="s">
        <v>27</v>
      </c>
      <c r="H21" s="4"/>
      <c r="L21" t="s">
        <v>0</v>
      </c>
    </row>
    <row r="22" spans="1:12" ht="16.5" thickTop="1" thickBot="1" x14ac:dyDescent="0.3">
      <c r="E22" s="24">
        <f>(A6*MAX(G18-F15,0)+(1-A6)*MAX(G19-F15,0))/(1+A3)</f>
        <v>2.1257604262507127E-3</v>
      </c>
      <c r="F22" s="6"/>
      <c r="G22" s="6"/>
      <c r="H22" s="7"/>
    </row>
    <row r="23" spans="1:12" ht="16.5" thickTop="1" thickBot="1" x14ac:dyDescent="0.3">
      <c r="A23" s="13"/>
      <c r="B23" s="12"/>
    </row>
    <row r="24" spans="1:12" ht="15.75" thickTop="1" x14ac:dyDescent="0.25">
      <c r="A24" s="16" t="s">
        <v>8</v>
      </c>
      <c r="B24" s="19"/>
      <c r="C24" s="1"/>
      <c r="D24" s="1"/>
      <c r="E24" s="1"/>
      <c r="F24" s="1"/>
      <c r="G24" s="1"/>
      <c r="H24" s="1"/>
      <c r="I24" s="2"/>
    </row>
    <row r="25" spans="1:12" x14ac:dyDescent="0.25">
      <c r="A25" s="29" t="s">
        <v>30</v>
      </c>
      <c r="B25" s="30"/>
      <c r="I25" s="4"/>
    </row>
    <row r="26" spans="1:12" x14ac:dyDescent="0.25">
      <c r="A26" s="29" t="s">
        <v>31</v>
      </c>
      <c r="B26" s="30"/>
      <c r="I26" s="4"/>
    </row>
    <row r="27" spans="1:12" x14ac:dyDescent="0.25">
      <c r="A27" s="29" t="s">
        <v>32</v>
      </c>
      <c r="B27" s="31"/>
      <c r="I27" s="4"/>
    </row>
    <row r="28" spans="1:12" x14ac:dyDescent="0.25">
      <c r="A28" s="29" t="s">
        <v>33</v>
      </c>
      <c r="B28" s="32"/>
      <c r="I28" s="4"/>
    </row>
    <row r="29" spans="1:12" x14ac:dyDescent="0.25">
      <c r="A29" s="29" t="s">
        <v>34</v>
      </c>
      <c r="B29" s="30"/>
      <c r="I29" s="4"/>
    </row>
    <row r="30" spans="1:12" ht="15.75" thickBot="1" x14ac:dyDescent="0.3">
      <c r="A30" s="33" t="s">
        <v>35</v>
      </c>
      <c r="B30" s="34"/>
      <c r="C30" s="6"/>
      <c r="D30" s="6"/>
      <c r="E30" s="6"/>
      <c r="F30" s="6"/>
      <c r="G30" s="6"/>
      <c r="H30" s="6"/>
      <c r="I30" s="7"/>
    </row>
    <row r="31" spans="1:12" ht="15.75" thickTop="1" x14ac:dyDescent="0.25">
      <c r="A31" s="13"/>
      <c r="B31" s="1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2.140625" customWidth="1"/>
    <col min="2" max="2" width="24.140625" customWidth="1"/>
    <col min="3" max="3" width="17.7109375" customWidth="1"/>
    <col min="6" max="6" width="10.5703125" customWidth="1"/>
    <col min="7" max="7" width="9.5703125" customWidth="1"/>
    <col min="8" max="8" width="3.140625" customWidth="1"/>
  </cols>
  <sheetData>
    <row r="1" spans="1:10" x14ac:dyDescent="0.25">
      <c r="A1" t="s">
        <v>36</v>
      </c>
      <c r="B1" t="s">
        <v>37</v>
      </c>
      <c r="C1">
        <v>1.25</v>
      </c>
      <c r="E1" t="s">
        <v>39</v>
      </c>
      <c r="G1">
        <v>1.5</v>
      </c>
      <c r="H1" t="s">
        <v>40</v>
      </c>
      <c r="I1">
        <f>G1/F2</f>
        <v>1.0344827586206897</v>
      </c>
    </row>
    <row r="2" spans="1:10" x14ac:dyDescent="0.25">
      <c r="B2" t="s">
        <v>38</v>
      </c>
      <c r="C2">
        <v>4.8</v>
      </c>
      <c r="F2">
        <v>1.45</v>
      </c>
      <c r="G2">
        <v>1.3</v>
      </c>
      <c r="H2" t="s">
        <v>41</v>
      </c>
      <c r="I2">
        <f>G2/F2</f>
        <v>0.89655172413793105</v>
      </c>
    </row>
    <row r="3" spans="1:10" x14ac:dyDescent="0.25">
      <c r="B3" t="s">
        <v>42</v>
      </c>
      <c r="C3">
        <f>1/C1+1/C2-1</f>
        <v>8.3333333333333037E-3</v>
      </c>
    </row>
    <row r="4" spans="1:10" ht="15.75" thickBot="1" x14ac:dyDescent="0.3"/>
    <row r="5" spans="1:10" ht="15.75" thickTop="1" x14ac:dyDescent="0.25">
      <c r="A5" s="40" t="s">
        <v>113</v>
      </c>
      <c r="B5" s="1"/>
      <c r="C5" s="1"/>
      <c r="D5" s="1"/>
      <c r="E5" s="1"/>
      <c r="F5" s="2"/>
    </row>
    <row r="6" spans="1:10" x14ac:dyDescent="0.25">
      <c r="A6" s="3"/>
      <c r="F6" s="4"/>
    </row>
    <row r="7" spans="1:10" x14ac:dyDescent="0.25">
      <c r="A7" s="25">
        <v>43274</v>
      </c>
      <c r="B7" t="s">
        <v>107</v>
      </c>
      <c r="C7" s="39">
        <v>1</v>
      </c>
      <c r="F7" s="4"/>
      <c r="J7" t="s">
        <v>123</v>
      </c>
    </row>
    <row r="8" spans="1:10" x14ac:dyDescent="0.25">
      <c r="A8" s="3"/>
      <c r="B8" t="s">
        <v>119</v>
      </c>
      <c r="C8" s="39">
        <v>0.81071636498047905</v>
      </c>
      <c r="D8" t="s">
        <v>0</v>
      </c>
      <c r="F8" s="4"/>
      <c r="J8" t="s">
        <v>124</v>
      </c>
    </row>
    <row r="9" spans="1:10" x14ac:dyDescent="0.25">
      <c r="A9" s="3"/>
      <c r="B9" t="s">
        <v>108</v>
      </c>
      <c r="C9" s="39">
        <f>(C7-C8)*F2</f>
        <v>0.27446127077830534</v>
      </c>
      <c r="D9" t="s">
        <v>0</v>
      </c>
      <c r="F9" s="4"/>
      <c r="J9" t="s">
        <v>125</v>
      </c>
    </row>
    <row r="10" spans="1:10" x14ac:dyDescent="0.25">
      <c r="A10" s="3"/>
      <c r="B10" t="s">
        <v>109</v>
      </c>
      <c r="C10" s="39">
        <f>C8+C9/F2</f>
        <v>1</v>
      </c>
      <c r="F10" s="4"/>
    </row>
    <row r="11" spans="1:10" x14ac:dyDescent="0.25">
      <c r="A11" s="3"/>
      <c r="C11" s="39"/>
      <c r="F11" s="4"/>
      <c r="J11">
        <f>0.25*1.45</f>
        <v>0.36249999999999999</v>
      </c>
    </row>
    <row r="12" spans="1:10" x14ac:dyDescent="0.25">
      <c r="A12" s="25">
        <v>43275</v>
      </c>
      <c r="B12" t="s">
        <v>110</v>
      </c>
      <c r="C12" s="42">
        <f>C8*C1-C7</f>
        <v>1.3395456225598901E-2</v>
      </c>
      <c r="F12" s="4"/>
      <c r="J12">
        <f>J11*4.8/1.35</f>
        <v>1.2888888888888888</v>
      </c>
    </row>
    <row r="13" spans="1:10" ht="15.75" thickBot="1" x14ac:dyDescent="0.3">
      <c r="A13" s="5"/>
      <c r="B13" s="6" t="s">
        <v>111</v>
      </c>
      <c r="C13" s="43">
        <f>C2*C9/G2-C7</f>
        <v>1.3395461335281134E-2</v>
      </c>
      <c r="D13" s="35">
        <f>MIN(C12:C13)</f>
        <v>1.3395456225598901E-2</v>
      </c>
      <c r="E13" s="6" t="s">
        <v>112</v>
      </c>
      <c r="F13" s="7"/>
    </row>
    <row r="14" spans="1:10" ht="15.75" thickTop="1" x14ac:dyDescent="0.25"/>
    <row r="16" spans="1:10" x14ac:dyDescent="0.25">
      <c r="A16" t="s">
        <v>114</v>
      </c>
      <c r="E16">
        <f>(C12-1)*1.45</f>
        <v>-1.4305765884728816</v>
      </c>
    </row>
    <row r="18" spans="1:5" x14ac:dyDescent="0.25">
      <c r="A18" s="25">
        <v>43274</v>
      </c>
      <c r="B18" t="s">
        <v>115</v>
      </c>
      <c r="C18" s="39">
        <v>1</v>
      </c>
    </row>
    <row r="19" spans="1:5" x14ac:dyDescent="0.25">
      <c r="A19" s="3"/>
      <c r="B19" t="s">
        <v>121</v>
      </c>
      <c r="C19" s="39">
        <f>(C18-C20)/F2</f>
        <v>0.54329373195740582</v>
      </c>
      <c r="D19" t="s">
        <v>0</v>
      </c>
    </row>
    <row r="20" spans="1:5" x14ac:dyDescent="0.25">
      <c r="A20" s="3"/>
      <c r="B20" t="s">
        <v>120</v>
      </c>
      <c r="C20" s="39">
        <v>0.21222408866176154</v>
      </c>
      <c r="D20" t="s">
        <v>0</v>
      </c>
    </row>
    <row r="21" spans="1:5" x14ac:dyDescent="0.25">
      <c r="A21" s="3"/>
      <c r="B21" t="s">
        <v>116</v>
      </c>
      <c r="C21" s="39">
        <f>C20+C19*F2</f>
        <v>1</v>
      </c>
    </row>
    <row r="22" spans="1:5" x14ac:dyDescent="0.25">
      <c r="A22" s="3"/>
      <c r="C22" s="39"/>
    </row>
    <row r="23" spans="1:5" x14ac:dyDescent="0.25">
      <c r="A23" s="25">
        <v>43275</v>
      </c>
      <c r="B23" t="s">
        <v>122</v>
      </c>
      <c r="C23" s="41">
        <f>C19*C1*G1</f>
        <v>1.018675747420136</v>
      </c>
    </row>
    <row r="24" spans="1:5" x14ac:dyDescent="0.25">
      <c r="A24" s="3"/>
      <c r="B24" t="s">
        <v>117</v>
      </c>
      <c r="C24" s="41">
        <f>C20*C2</f>
        <v>1.0186756255764553</v>
      </c>
      <c r="D24" s="39">
        <f>MIN(C23:C24)</f>
        <v>1.0186756255764553</v>
      </c>
      <c r="E24" t="s">
        <v>118</v>
      </c>
    </row>
    <row r="26" spans="1:5" x14ac:dyDescent="0.25">
      <c r="B26">
        <f>1-C3*C2</f>
        <v>0.96000000000000019</v>
      </c>
      <c r="C26">
        <f>I2</f>
        <v>0.89655172413793105</v>
      </c>
    </row>
    <row r="27" spans="1:5" x14ac:dyDescent="0.25">
      <c r="B27">
        <f>1-C3*C1</f>
        <v>0.98958333333333337</v>
      </c>
      <c r="C27">
        <f>1/I1</f>
        <v>0.96666666666666656</v>
      </c>
    </row>
  </sheetData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Youssef Mahmoud Raad</cp:lastModifiedBy>
  <cp:lastPrinted>2018-09-02T14:44:30Z</cp:lastPrinted>
  <dcterms:created xsi:type="dcterms:W3CDTF">2017-08-14T16:58:08Z</dcterms:created>
  <dcterms:modified xsi:type="dcterms:W3CDTF">2024-06-17T15:01:23Z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2023-04-26T09:04:16Z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b8accfd5-9c09-446e-a59b-e649fa23822a</vt:lpwstr>
  </property>
  <property fmtid="{D5CDD505-2E9C-101B-9397-08002B2CF9AE}" pid="8" name="MSIP_Label_6a2630e2-1ac5-455e-8217-0156b1936a76_ContentBits">
    <vt:lpwstr>0</vt:lpwstr>
  </property>
</Properties>
</file>