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326"/>
  <workbookPr/>
  <mc:AlternateContent xmlns:mc="http://schemas.openxmlformats.org/markup-compatibility/2006">
    <mc:Choice Requires="x15">
      <x15ac:absPath xmlns:x15ac="http://schemas.microsoft.com/office/spreadsheetml/2010/11/ac" url="C:\Users\Gergar1212\Documents\"/>
    </mc:Choice>
  </mc:AlternateContent>
  <bookViews>
    <workbookView xWindow="0" yWindow="0" windowWidth="14025" windowHeight="9255" xr2:uid="{D34BE807-7EDA-43A6-9920-C36A9696AE82}"/>
  </bookViews>
  <sheets>
    <sheet name="Details" sheetId="1" r:id="rId1"/>
    <sheet name="PaymentInfo" sheetId="2" r:id="rId2"/>
  </sheets>
  <definedNames>
    <definedName name="Avg_Cost">Details!$B$17</definedName>
    <definedName name="Highest_House">Details!$B$20</definedName>
    <definedName name="Lowest_House">Details!$B$19</definedName>
    <definedName name="Median_Cost">Details!$B$18</definedName>
    <definedName name="Text">Details!$A$15</definedName>
    <definedName name="Total_Cost">Details!$B$16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3" i="2" l="1"/>
  <c r="I12" i="2"/>
  <c r="I11" i="2"/>
  <c r="I10" i="2"/>
  <c r="I9" i="2"/>
  <c r="G9" i="2"/>
  <c r="G13" i="2"/>
  <c r="G12" i="2"/>
  <c r="G11" i="2"/>
  <c r="G10" i="2"/>
  <c r="H9" i="2"/>
  <c r="H10" i="2"/>
  <c r="H11" i="2"/>
  <c r="H12" i="2"/>
  <c r="H13" i="2"/>
  <c r="D21" i="1"/>
  <c r="C21" i="1"/>
  <c r="B21" i="1"/>
  <c r="D20" i="1"/>
  <c r="C20" i="1"/>
  <c r="D19" i="1"/>
  <c r="C19" i="1"/>
  <c r="D18" i="1"/>
  <c r="C18" i="1"/>
  <c r="D17" i="1"/>
  <c r="C17" i="1"/>
  <c r="D16" i="1"/>
  <c r="C16" i="1"/>
  <c r="B20" i="1"/>
  <c r="B19" i="1"/>
  <c r="B18" i="1"/>
  <c r="B17" i="1"/>
  <c r="B16" i="1"/>
  <c r="K12" i="1"/>
  <c r="K11" i="1"/>
  <c r="K10" i="1"/>
  <c r="K9" i="1"/>
  <c r="K8" i="1"/>
  <c r="I12" i="1"/>
  <c r="I11" i="1"/>
  <c r="I10" i="1"/>
  <c r="I9" i="1"/>
  <c r="I8" i="1"/>
  <c r="H12" i="1"/>
  <c r="H11" i="1"/>
  <c r="H10" i="1"/>
  <c r="H9" i="1"/>
  <c r="H8" i="1"/>
  <c r="F12" i="1"/>
  <c r="F11" i="1"/>
  <c r="F10" i="1"/>
  <c r="F9" i="1"/>
  <c r="F8" i="1"/>
  <c r="D12" i="1"/>
  <c r="D11" i="1"/>
  <c r="D10" i="1"/>
  <c r="D9" i="1"/>
  <c r="D8" i="1"/>
  <c r="D9" i="2" l="1"/>
  <c r="E9" i="2"/>
  <c r="D10" i="2"/>
  <c r="E10" i="2"/>
  <c r="D11" i="2"/>
  <c r="E11" i="2"/>
  <c r="D12" i="2"/>
  <c r="E12" i="2"/>
  <c r="D13" i="2"/>
  <c r="E13" i="2"/>
  <c r="B4" i="2"/>
  <c r="B4" i="1" s="1"/>
</calcChain>
</file>

<file path=xl/sharedStrings.xml><?xml version="1.0" encoding="utf-8"?>
<sst xmlns="http://schemas.openxmlformats.org/spreadsheetml/2006/main" count="43" uniqueCount="32">
  <si>
    <t>Townsend Mortgage Company</t>
  </si>
  <si>
    <t>Input Area</t>
  </si>
  <si>
    <t>Today's Date:</t>
  </si>
  <si>
    <t>Loan #</t>
  </si>
  <si>
    <t>House
Cost</t>
  </si>
  <si>
    <t>Down
Payment</t>
  </si>
  <si>
    <t>Amount
Financed</t>
  </si>
  <si>
    <t>Mortgage
Rate</t>
  </si>
  <si>
    <t>Rate Per
Period</t>
  </si>
  <si>
    <t># of Pmt
Periods</t>
  </si>
  <si>
    <t>%
Financed</t>
  </si>
  <si>
    <t>Years</t>
  </si>
  <si>
    <t>Summary Statistics</t>
  </si>
  <si>
    <t>Statistics</t>
  </si>
  <si>
    <t>Total</t>
  </si>
  <si>
    <t>Average</t>
  </si>
  <si>
    <t>Median</t>
  </si>
  <si>
    <t>Lowest</t>
  </si>
  <si>
    <t>Highest</t>
  </si>
  <si>
    <t># of Mortgages</t>
  </si>
  <si>
    <t>Date
Financed</t>
  </si>
  <si>
    <t>Payoff
Year</t>
  </si>
  <si>
    <t>Pmts Per Year:</t>
  </si>
  <si>
    <t># Pmts Per Year:</t>
  </si>
  <si>
    <t>PMI Rate:</t>
  </si>
  <si>
    <t>Down Pmt Rate:</t>
  </si>
  <si>
    <t>Rate</t>
  </si>
  <si>
    <t>% Down</t>
  </si>
  <si>
    <t>APR</t>
  </si>
  <si>
    <t>Monthly
Payment</t>
  </si>
  <si>
    <t>Monthly
PMI</t>
  </si>
  <si>
    <t>House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</si>
</sst>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%"/>
    <numFmt numFmtId="166" formatCode="0.000%"/>
    <numFmt numFmtId="167" formatCode="0.0000%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4" tint="-0.249977111117893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</cellStyleXfs>
  <cellXfs count="29">
    <xf numFmtId="0" fontId="0" fillId="0" borderId="0" xfId="0"/>
    <xf numFmtId="0" fontId="1" fillId="0" borderId="0" xfId="1"/>
    <xf numFmtId="0" fontId="2" fillId="0" borderId="0" xfId="2" applyFont="1"/>
    <xf numFmtId="0" fontId="1" fillId="0" borderId="0" xfId="3" applyAlignment="1">
      <alignment horizontal="center"/>
    </xf>
    <xf numFmtId="0" fontId="3" fillId="3" borderId="0" xfId="4" applyFont="1" applyFill="1" applyAlignment="1">
      <alignment horizontal="center"/>
    </xf>
    <xf numFmtId="0" fontId="3" fillId="3" borderId="0" xfId="5" applyFont="1" applyFill="1" applyAlignment="1">
      <alignment horizontal="center" wrapText="1"/>
    </xf>
    <xf numFmtId="0" fontId="4" fillId="3" borderId="0" xfId="6" applyFont="1" applyFill="1" applyAlignment="1">
      <alignment horizontal="center"/>
    </xf>
    <xf numFmtId="0" fontId="4" fillId="3" borderId="0" xfId="7" applyFont="1" applyFill="1" applyAlignment="1">
      <alignment horizontal="center" wrapText="1"/>
    </xf>
    <xf numFmtId="164" fontId="0" fillId="0" borderId="0" xfId="8" applyNumberFormat="1" applyFont="1"/>
    <xf numFmtId="165" fontId="0" fillId="0" borderId="0" xfId="9" applyNumberFormat="1" applyFont="1"/>
    <xf numFmtId="10" fontId="0" fillId="0" borderId="0" xfId="10" applyNumberFormat="1" applyFont="1"/>
    <xf numFmtId="166" fontId="0" fillId="0" borderId="0" xfId="11" applyNumberFormat="1" applyFont="1"/>
    <xf numFmtId="0" fontId="1" fillId="2" borderId="0" xfId="12" applyFill="1"/>
    <xf numFmtId="0" fontId="5" fillId="0" borderId="0" xfId="13" applyFont="1"/>
    <xf numFmtId="9" fontId="0" fillId="2" borderId="0" xfId="14" applyFont="1" applyFill="1"/>
    <xf numFmtId="14" fontId="1" fillId="0" borderId="0" xfId="15" applyNumberFormat="1" applyAlignment="1">
      <alignment horizontal="right"/>
    </xf>
    <xf numFmtId="164" fontId="1" fillId="2" borderId="0" xfId="16" applyNumberFormat="1" applyFill="1"/>
    <xf numFmtId="164" fontId="0" fillId="2" borderId="0" xfId="17" applyNumberFormat="1" applyFont="1" applyFill="1"/>
    <xf numFmtId="14" fontId="1" fillId="0" borderId="0" xfId="18" applyNumberFormat="1" applyFill="1"/>
    <xf numFmtId="14" fontId="1" fillId="2" borderId="0" xfId="12" applyNumberFormat="1" applyFill="1"/>
    <xf numFmtId="164" fontId="1" fillId="2" borderId="0" xfId="12" applyNumberFormat="1" applyFill="1"/>
    <xf numFmtId="44" fontId="1" fillId="2" borderId="0" xfId="12" applyNumberFormat="1" applyFill="1"/>
    <xf numFmtId="164" fontId="0" fillId="0" borderId="0" xfId="0" applyNumberFormat="1"/>
    <xf numFmtId="42" fontId="0" fillId="2" borderId="0" xfId="14" applyNumberFormat="1" applyFont="1" applyFill="1"/>
    <xf numFmtId="8" fontId="1" fillId="2" borderId="0" xfId="12" applyNumberFormat="1" applyFill="1"/>
    <xf numFmtId="167" fontId="1" fillId="2" borderId="0" xfId="12" applyNumberFormat="1" applyFill="1"/>
    <xf numFmtId="0" fontId="4" fillId="3" borderId="0" xfId="19" applyFont="1" applyFill="1" applyAlignment="1">
      <alignment horizontal="center"/>
    </xf>
    <xf numFmtId="0" fontId="6" fillId="0" borderId="0" xfId="20" applyFont="1" applyAlignment="1">
      <alignment horizontal="center"/>
    </xf>
    <xf numFmtId="0" fontId="3" fillId="3" borderId="0" xfId="21" applyFont="1" applyFill="1" applyAlignment="1">
      <alignment horizontal="center"/>
    </xf>
  </cellXfs>
  <cellStyles count="22">
    <cellStyle name="+vhIOoGr0TESuy6RxfGPLoMSChZIEOeJOTXK0StyFCw=-~cN770sW4BW+JbakAJp0WZg==" xfId="2" xr:uid="{00000000-0005-0000-0000-000004000000}"/>
    <cellStyle name="04MdbvXS15uMXL6kUItgjgDnowF2lJnz4U6jAChaOEE=-~dE4PiP2ebvmsx9w8nm9N2Q==" xfId="12" xr:uid="{00000000-0005-0000-0000-00000E000000}"/>
    <cellStyle name="5J3l7qJPVfJmsnsG4/gQf8OuhWn5BxBUKye7O43Z4eQ=-~sl8NBXcySMEKFNzTAm3kpw==" xfId="10" xr:uid="{00000000-0005-0000-0000-00000C000000}"/>
    <cellStyle name="7D+Q4L8O+YwZmTCMcfFds5yNp+esulrQp1WI9uIrCuM=-~Bg5jVEnUydFSF/jl3qIFOA==" xfId="13" xr:uid="{00000000-0005-0000-0000-00000F000000}"/>
    <cellStyle name="99IZdiZaQMhUwGf2DBpmm+Uben0+RsbWJ4Ud0PQ1lO8=-~d6omz2M+iSXFOLXGVEMhLQ==" xfId="1" xr:uid="{00000000-0005-0000-0000-000003000000}"/>
    <cellStyle name="az3VFiMWBCLElssrSULQpl9gEDQozERPF/wkib5VLgE=-~FpVIo3yzuMKc1ZsgTtd9mA==" xfId="6" xr:uid="{00000000-0005-0000-0000-000008000000}"/>
    <cellStyle name="bj91SnCIp/vJ4mT/i803bhGbzs8Usjabp4mqIXOGFgk=-~Ml/4zTu6QgxBclguAKPciA==" xfId="3" xr:uid="{00000000-0005-0000-0000-000005000000}"/>
    <cellStyle name="bLd38QgtVFR3qnioASskvzZlIwCwdDBhc99ffj4Dz7w=-~ibc8OaFPbSjlnNjZkc028w==" xfId="9" xr:uid="{00000000-0005-0000-0000-00000B000000}"/>
    <cellStyle name="blR10tC4o0cSTU2X0HClikElJ1K+GuwWug3S34rot5A=-~qVVCrqSEfLO8ERyYcnY4aQ==" xfId="19" xr:uid="{00000000-0005-0000-0000-000015000000}"/>
    <cellStyle name="CP6qOEQvd16yi1ql0ShsZelLsai6G85Gx+3ElPKtF1Q=-~s2CPtzV86TQJ1x7WvkcA4A==" xfId="21" xr:uid="{00000000-0005-0000-0000-000017000000}"/>
    <cellStyle name="DX+kbP8KXMEU6mfVFNAWkyqKjHuYVdBjulBjtwi06qI=-~3rqeNqMkFDITfsLwLyjpbw==" xfId="14" xr:uid="{00000000-0005-0000-0000-000010000000}"/>
    <cellStyle name="e47NYQH0KKYLqk3eEIoNGbvrOpQ5DYDmVCcyoNk3ZHU=-~U+aAF0R7Jy0JciccFlhUIw==" xfId="5" xr:uid="{00000000-0005-0000-0000-000007000000}"/>
    <cellStyle name="iSY26ak6fw9Mj73jji1+ddhURaa3SEuNiBhYBV0isG8=-~AQ15+WjyjdDoazaVSvMnnQ==" xfId="18" xr:uid="{00000000-0005-0000-0000-000014000000}"/>
    <cellStyle name="j2mMOtBIZ/dPisznRSpJqSS8nPwYxPNK3MB2rx+o6r4=-~S1ZXjeMTViPzRwuol2UfbA==" xfId="17" xr:uid="{00000000-0005-0000-0000-000013000000}"/>
    <cellStyle name="lQkKXwNDpQuQpbNEkMrY2zAmJQ86UcBFdmmop8v/N4g=-~Q2+zWnWMj65Cy87xd/9RSQ==" xfId="4" xr:uid="{00000000-0005-0000-0000-000006000000}"/>
    <cellStyle name="NgReM/jHmlzuiGJ9SzkFuEdvZi0ek0ZtM8jMKxHeevA=-~rDG8nHH1MQi/7u+9iET2VA==" xfId="11" xr:uid="{00000000-0005-0000-0000-00000D000000}"/>
    <cellStyle name="Normal" xfId="0" builtinId="0"/>
    <cellStyle name="rgg1kezloXzJ/EMhzrrPQkBWt2oEX29yKDhEPPsaiJs=-~/oSHgS4d3SyLluBHC2ogGA==" xfId="16" xr:uid="{00000000-0005-0000-0000-000012000000}"/>
    <cellStyle name="RNYfC7/QdxWRYiJxfapxaL88YMY/3F5WcS88ePuoVB8=-~aVByB6/YPTZ+p6cGX7Tk7g==" xfId="7" xr:uid="{00000000-0005-0000-0000-000009000000}"/>
    <cellStyle name="tMoJ1YOyz+ijDzRQEYo7R7A0k3djzncnoLFOuPppuEk=-~iYYDVotgNGbpyK6mlYUwKw==" xfId="8" xr:uid="{00000000-0005-0000-0000-00000A000000}"/>
    <cellStyle name="Tof7ZXoTHlqAUwk8v7UNb/7SUSWlcvj+vOioVcyjYN0=-~MQZ9bo8UNtwCuPwdBBWJwg==" xfId="15" xr:uid="{00000000-0005-0000-0000-000011000000}"/>
    <cellStyle name="W5agXKmAzt4jsUkNDFYjc8N5xx1/6cxvXcwLNmZsRV8=-~ndUkYcTTypxR/rATrN/aHg==" xfId="20" xr:uid="{00000000-0005-0000-0000-000016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"/>
  <sheetViews>
    <sheetView tabSelected="1" workbookViewId="0">
      <selection activeCell="D5" sqref="D5"/>
    </sheetView>
  </sheetViews>
  <sheetFormatPr defaultRowHeight="15" x14ac:dyDescent="0.25"/>
  <cols>
    <col min="1" max="1" width="14.5703125" customWidth="1"/>
    <col min="2" max="2" width="11.5703125" bestFit="1" customWidth="1"/>
    <col min="3" max="3" width="11.28515625" bestFit="1" customWidth="1"/>
    <col min="4" max="4" width="11.42578125" bestFit="1" customWidth="1"/>
    <col min="5" max="5" width="12.42578125" bestFit="1" customWidth="1"/>
    <col min="6" max="6" width="13.42578125" bestFit="1" customWidth="1"/>
    <col min="7" max="7" width="7.5703125" bestFit="1" customWidth="1"/>
    <col min="8" max="8" width="10.5703125" bestFit="1" customWidth="1"/>
    <col min="9" max="10" width="11.42578125" bestFit="1" customWidth="1"/>
    <col min="11" max="11" width="10.7109375" bestFit="1" customWidth="1"/>
  </cols>
  <sheetData>
    <row r="1" spans="1:11" ht="23.25" x14ac:dyDescent="0.35">
      <c r="A1" s="2" t="s">
        <v>0</v>
      </c>
    </row>
    <row r="3" spans="1:11" ht="18.75" x14ac:dyDescent="0.3">
      <c r="A3" s="26" t="s">
        <v>1</v>
      </c>
      <c r="B3" s="26"/>
    </row>
    <row r="4" spans="1:11" x14ac:dyDescent="0.25">
      <c r="A4" s="1" t="s">
        <v>2</v>
      </c>
      <c r="B4" s="19">
        <f ca="1">PaymentInfo!B4</f>
        <v>42989</v>
      </c>
    </row>
    <row r="5" spans="1:11" x14ac:dyDescent="0.25">
      <c r="A5" s="1" t="s">
        <v>22</v>
      </c>
      <c r="B5" s="1">
        <v>12</v>
      </c>
    </row>
    <row r="7" spans="1:11" ht="37.5" x14ac:dyDescent="0.3">
      <c r="A7" s="6" t="s">
        <v>3</v>
      </c>
      <c r="B7" s="7" t="s">
        <v>4</v>
      </c>
      <c r="C7" s="7" t="s">
        <v>5</v>
      </c>
      <c r="D7" s="7" t="s">
        <v>6</v>
      </c>
      <c r="E7" s="7" t="s">
        <v>7</v>
      </c>
      <c r="F7" s="7" t="s">
        <v>8</v>
      </c>
      <c r="G7" s="7" t="s">
        <v>11</v>
      </c>
      <c r="H7" s="7" t="s">
        <v>9</v>
      </c>
      <c r="I7" s="7" t="s">
        <v>10</v>
      </c>
      <c r="J7" s="7" t="s">
        <v>20</v>
      </c>
      <c r="K7" s="7" t="s">
        <v>21</v>
      </c>
    </row>
    <row r="8" spans="1:11" x14ac:dyDescent="0.25">
      <c r="A8" s="3">
        <v>452786</v>
      </c>
      <c r="B8" s="8">
        <v>400000</v>
      </c>
      <c r="C8" s="8">
        <v>80000</v>
      </c>
      <c r="D8" s="20">
        <f>B8-C8</f>
        <v>320000</v>
      </c>
      <c r="E8" s="11">
        <v>3.6249999999999998E-2</v>
      </c>
      <c r="F8" s="21">
        <f>(D8/(G8*B$5)*(E8))</f>
        <v>38.666666666666664</v>
      </c>
      <c r="G8" s="3">
        <v>25</v>
      </c>
      <c r="H8" s="12">
        <f>G8*B$5</f>
        <v>300</v>
      </c>
      <c r="I8" s="14">
        <f>D8/B8</f>
        <v>0.8</v>
      </c>
      <c r="J8" s="15">
        <v>40664</v>
      </c>
      <c r="K8" s="19">
        <f>DATE(YEAR(J8) + G8,MONTH(J8), DAY(J8))</f>
        <v>49796</v>
      </c>
    </row>
    <row r="9" spans="1:11" x14ac:dyDescent="0.25">
      <c r="A9" s="3">
        <v>453000</v>
      </c>
      <c r="B9" s="8">
        <v>350000</v>
      </c>
      <c r="C9" s="8">
        <v>60000</v>
      </c>
      <c r="D9" s="20">
        <f t="shared" ref="D9:D12" si="0">B9-C9</f>
        <v>290000</v>
      </c>
      <c r="E9" s="11">
        <v>3.9399999999999998E-2</v>
      </c>
      <c r="F9" s="21">
        <f t="shared" ref="F9:F12" si="1">(D9/(G9*B$5)*(E9))</f>
        <v>31.738888888888887</v>
      </c>
      <c r="G9" s="3">
        <v>30</v>
      </c>
      <c r="H9" s="12">
        <f t="shared" ref="H9:H12" si="2">G9*B$5</f>
        <v>360</v>
      </c>
      <c r="I9" s="14">
        <f t="shared" ref="I9:I12" si="3">D9/B9</f>
        <v>0.82857142857142863</v>
      </c>
      <c r="J9" s="15">
        <v>40850</v>
      </c>
      <c r="K9" s="19">
        <f t="shared" ref="K9:K12" si="4">DATE(YEAR(J9) + G9,MONTH(J9), DAY(J9))</f>
        <v>51808</v>
      </c>
    </row>
    <row r="10" spans="1:11" x14ac:dyDescent="0.25">
      <c r="A10" s="3">
        <v>453025</v>
      </c>
      <c r="B10" s="8">
        <v>175500</v>
      </c>
      <c r="C10" s="8">
        <v>30000</v>
      </c>
      <c r="D10" s="20">
        <f t="shared" si="0"/>
        <v>145500</v>
      </c>
      <c r="E10" s="11">
        <v>3.5499999999999997E-2</v>
      </c>
      <c r="F10" s="21">
        <f t="shared" si="1"/>
        <v>17.217499999999998</v>
      </c>
      <c r="G10" s="3">
        <v>25</v>
      </c>
      <c r="H10" s="12">
        <f t="shared" si="2"/>
        <v>300</v>
      </c>
      <c r="I10" s="14">
        <f t="shared" si="3"/>
        <v>0.82905982905982911</v>
      </c>
      <c r="J10" s="15">
        <v>41009</v>
      </c>
      <c r="K10" s="19">
        <f t="shared" si="4"/>
        <v>50140</v>
      </c>
    </row>
    <row r="11" spans="1:11" x14ac:dyDescent="0.25">
      <c r="A11" s="3">
        <v>452600</v>
      </c>
      <c r="B11" s="8">
        <v>265950</v>
      </c>
      <c r="C11" s="8">
        <v>58000</v>
      </c>
      <c r="D11" s="20">
        <f t="shared" si="0"/>
        <v>207950</v>
      </c>
      <c r="E11" s="11">
        <v>2.5000000000000001E-2</v>
      </c>
      <c r="F11" s="21">
        <f t="shared" si="1"/>
        <v>28.881944444444446</v>
      </c>
      <c r="G11" s="3">
        <v>15</v>
      </c>
      <c r="H11" s="12">
        <f t="shared" si="2"/>
        <v>180</v>
      </c>
      <c r="I11" s="14">
        <f t="shared" si="3"/>
        <v>0.78191389358902053</v>
      </c>
      <c r="J11" s="15">
        <v>41196</v>
      </c>
      <c r="K11" s="19">
        <f t="shared" si="4"/>
        <v>46674</v>
      </c>
    </row>
    <row r="12" spans="1:11" x14ac:dyDescent="0.25">
      <c r="A12" s="3">
        <v>452638</v>
      </c>
      <c r="B12" s="8">
        <v>329750</v>
      </c>
      <c r="C12" s="8">
        <v>65000</v>
      </c>
      <c r="D12" s="20">
        <f t="shared" si="0"/>
        <v>264750</v>
      </c>
      <c r="E12" s="11">
        <v>3.2500000000000001E-2</v>
      </c>
      <c r="F12" s="21">
        <f t="shared" si="1"/>
        <v>23.901041666666668</v>
      </c>
      <c r="G12" s="3">
        <v>30</v>
      </c>
      <c r="H12" s="12">
        <f t="shared" si="2"/>
        <v>360</v>
      </c>
      <c r="I12" s="14">
        <f t="shared" si="3"/>
        <v>0.80288097043214557</v>
      </c>
      <c r="J12" s="15">
        <v>41309</v>
      </c>
      <c r="K12" s="19">
        <f t="shared" si="4"/>
        <v>52266</v>
      </c>
    </row>
    <row r="14" spans="1:11" ht="18.75" x14ac:dyDescent="0.3">
      <c r="A14" s="27" t="s">
        <v>12</v>
      </c>
      <c r="B14" s="27"/>
      <c r="C14" s="27"/>
      <c r="D14" s="27"/>
    </row>
    <row r="15" spans="1:11" ht="37.5" x14ac:dyDescent="0.3">
      <c r="A15" s="6" t="s">
        <v>13</v>
      </c>
      <c r="B15" s="7" t="s">
        <v>4</v>
      </c>
      <c r="C15" s="7" t="s">
        <v>5</v>
      </c>
      <c r="D15" s="7" t="s">
        <v>6</v>
      </c>
    </row>
    <row r="16" spans="1:11" x14ac:dyDescent="0.25">
      <c r="A16" s="1" t="s">
        <v>14</v>
      </c>
      <c r="B16" s="20">
        <f>SUM(B8:B12, PaymentInfo!B9:B13)</f>
        <v>3104150</v>
      </c>
      <c r="C16" s="20">
        <f>SUM(C8:C12, PaymentInfo!C9:C13)</f>
        <v>604500</v>
      </c>
      <c r="D16" s="20">
        <f>SUM(D8:D12, PaymentInfo!D9:D13)</f>
        <v>2499650</v>
      </c>
      <c r="F16" s="22"/>
    </row>
    <row r="17" spans="1:4" x14ac:dyDescent="0.25">
      <c r="A17" s="1" t="s">
        <v>15</v>
      </c>
      <c r="B17" s="20">
        <f>AVERAGE(B8:B12, PaymentInfo!B9:B13)</f>
        <v>310415</v>
      </c>
      <c r="C17" s="20">
        <f>AVERAGE(C8:C12, PaymentInfo!C9:C13)</f>
        <v>60450</v>
      </c>
      <c r="D17" s="20">
        <f>AVERAGE(D8:D12, PaymentInfo!D9:D13)</f>
        <v>249965</v>
      </c>
    </row>
    <row r="18" spans="1:4" x14ac:dyDescent="0.25">
      <c r="A18" s="1" t="s">
        <v>16</v>
      </c>
      <c r="B18" s="20">
        <f>MEDIAN(B8:B12, PaymentInfo!B9:B13)</f>
        <v>329825</v>
      </c>
      <c r="C18" s="20">
        <f>MEDIAN(C8:C12, PaymentInfo!C9:C13)</f>
        <v>62500</v>
      </c>
      <c r="D18" s="20">
        <f>MEDIAN(D8:D12, PaymentInfo!D9:D13)</f>
        <v>260150</v>
      </c>
    </row>
    <row r="19" spans="1:4" x14ac:dyDescent="0.25">
      <c r="A19" s="1" t="s">
        <v>17</v>
      </c>
      <c r="B19" s="20">
        <f>MIN(B8:B12, PaymentInfo!B9:B13)</f>
        <v>175500</v>
      </c>
      <c r="C19" s="20">
        <f>MIN(C8:C12, PaymentInfo!C9:C13)</f>
        <v>30000</v>
      </c>
      <c r="D19" s="20">
        <f>MIN(D8:D12, PaymentInfo!D9:D13)</f>
        <v>145500</v>
      </c>
    </row>
    <row r="20" spans="1:4" x14ac:dyDescent="0.25">
      <c r="A20" s="1" t="s">
        <v>18</v>
      </c>
      <c r="B20" s="20">
        <f>MAX(B8:B12, PaymentInfo!B9:B13)</f>
        <v>425750</v>
      </c>
      <c r="C20" s="20">
        <f>MAX(C8:C12, PaymentInfo!C9:C13)</f>
        <v>86000</v>
      </c>
      <c r="D20" s="20">
        <f>MAX(D8:D12, PaymentInfo!D9:D13)</f>
        <v>339750</v>
      </c>
    </row>
    <row r="21" spans="1:4" x14ac:dyDescent="0.25">
      <c r="A21" s="1" t="s">
        <v>19</v>
      </c>
      <c r="B21" s="12">
        <f>COUNT(B8:B12, PaymentInfo!B9:B13)</f>
        <v>10</v>
      </c>
      <c r="C21" s="12">
        <f>COUNT(C8:C12, PaymentInfo!C9:C13)</f>
        <v>10</v>
      </c>
      <c r="D21" s="12">
        <f>COUNT(D8:D12, PaymentInfo!D9:D13)</f>
        <v>10</v>
      </c>
    </row>
  </sheetData>
  <mergeCells count="2">
    <mergeCell ref="A3:B3"/>
    <mergeCell ref="A14:D14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7"/>
  <sheetViews>
    <sheetView topLeftCell="A7" workbookViewId="0">
      <selection activeCell="E20" sqref="E20"/>
    </sheetView>
  </sheetViews>
  <sheetFormatPr defaultRowHeight="15" x14ac:dyDescent="0.25"/>
  <cols>
    <col min="1" max="1" width="15.5703125" customWidth="1"/>
    <col min="2" max="2" width="14.7109375" customWidth="1"/>
    <col min="3" max="3" width="11.28515625" bestFit="1" customWidth="1"/>
    <col min="4" max="4" width="11.42578125" bestFit="1" customWidth="1"/>
    <col min="5" max="5" width="12.42578125" bestFit="1" customWidth="1"/>
    <col min="6" max="6" width="7.5703125" bestFit="1" customWidth="1"/>
    <col min="7" max="7" width="8.140625" bestFit="1" customWidth="1"/>
    <col min="8" max="9" width="13.140625" customWidth="1"/>
  </cols>
  <sheetData>
    <row r="1" spans="1:9" ht="23.25" x14ac:dyDescent="0.35">
      <c r="A1" s="2" t="s">
        <v>0</v>
      </c>
    </row>
    <row r="3" spans="1:9" ht="15.75" x14ac:dyDescent="0.25">
      <c r="A3" s="28" t="s">
        <v>1</v>
      </c>
      <c r="B3" s="28"/>
      <c r="C3" s="13"/>
      <c r="D3" s="4" t="s">
        <v>11</v>
      </c>
      <c r="E3" s="4" t="s">
        <v>26</v>
      </c>
    </row>
    <row r="4" spans="1:9" x14ac:dyDescent="0.25">
      <c r="A4" s="1" t="s">
        <v>2</v>
      </c>
      <c r="B4" s="18">
        <f ca="1">TODAY()</f>
        <v>42989</v>
      </c>
      <c r="D4" s="3">
        <v>15</v>
      </c>
      <c r="E4" s="11">
        <v>3.2500000000000001E-2</v>
      </c>
    </row>
    <row r="5" spans="1:9" x14ac:dyDescent="0.25">
      <c r="A5" s="1" t="s">
        <v>23</v>
      </c>
      <c r="B5" s="1">
        <v>12</v>
      </c>
      <c r="D5" s="3">
        <v>25</v>
      </c>
      <c r="E5" s="11">
        <v>3.6249999999999998E-2</v>
      </c>
    </row>
    <row r="6" spans="1:9" x14ac:dyDescent="0.25">
      <c r="A6" s="1" t="s">
        <v>24</v>
      </c>
      <c r="B6" s="10">
        <v>3.8E-3</v>
      </c>
      <c r="D6" s="3">
        <v>30</v>
      </c>
      <c r="E6" s="11">
        <v>3.7499999999999999E-2</v>
      </c>
    </row>
    <row r="7" spans="1:9" x14ac:dyDescent="0.25">
      <c r="A7" s="1" t="s">
        <v>25</v>
      </c>
      <c r="B7" s="9">
        <v>0.2</v>
      </c>
    </row>
    <row r="8" spans="1:9" ht="31.5" x14ac:dyDescent="0.25">
      <c r="A8" s="4" t="s">
        <v>3</v>
      </c>
      <c r="B8" s="5" t="s">
        <v>31</v>
      </c>
      <c r="C8" s="5" t="s">
        <v>5</v>
      </c>
      <c r="D8" s="5" t="s">
        <v>6</v>
      </c>
      <c r="E8" s="5" t="s">
        <v>27</v>
      </c>
      <c r="F8" s="5" t="s">
        <v>11</v>
      </c>
      <c r="G8" s="5" t="s">
        <v>28</v>
      </c>
      <c r="H8" s="5" t="s">
        <v>29</v>
      </c>
      <c r="I8" s="5" t="s">
        <v>30</v>
      </c>
    </row>
    <row r="9" spans="1:9" x14ac:dyDescent="0.25">
      <c r="A9" s="3">
        <v>392786</v>
      </c>
      <c r="B9" s="8">
        <v>425750</v>
      </c>
      <c r="C9" s="8">
        <v>86000</v>
      </c>
      <c r="D9" s="16">
        <f>B9-C9</f>
        <v>339750</v>
      </c>
      <c r="E9" s="9">
        <f>C9/B9</f>
        <v>0.20199647680563712</v>
      </c>
      <c r="F9" s="3">
        <v>25</v>
      </c>
      <c r="G9" s="25">
        <f>RATE(B$5 * F9,-H9,D9,0)</f>
        <v>2.3804063987299852E-4</v>
      </c>
      <c r="H9" s="23">
        <f>(D9/(B$5*F9))*(1+IF(F$9=D$4,E$4,IF(F$9=D$5,E$5,E$6)))</f>
        <v>1173.5531249999999</v>
      </c>
      <c r="I9" s="24">
        <f>H9*IF(E9&gt;B$7,0,IF(E9&lt;B$7, B$6))</f>
        <v>0</v>
      </c>
    </row>
    <row r="10" spans="1:9" x14ac:dyDescent="0.25">
      <c r="A10" s="3">
        <v>393000</v>
      </c>
      <c r="B10" s="8">
        <v>335900</v>
      </c>
      <c r="C10" s="8">
        <v>75500</v>
      </c>
      <c r="D10" s="17">
        <f t="shared" ref="D10:D13" si="0">B10-C10</f>
        <v>260400</v>
      </c>
      <c r="E10" s="9">
        <f t="shared" ref="E10:E13" si="1">C10/B10</f>
        <v>0.22476927657040785</v>
      </c>
      <c r="F10" s="3">
        <v>30</v>
      </c>
      <c r="G10" s="25">
        <f t="shared" ref="G10:G13" si="2">RATE(B$5 * F10,-H10,D10,0)</f>
        <v>1.9847449705668013E-4</v>
      </c>
      <c r="H10" s="23">
        <f t="shared" ref="H10:H13" si="3">(D10/(B$5*F10))*(1+IF(F$9=D$4,E$4,IF(F$9=D$5,E$5,E$6)))</f>
        <v>749.55416666666667</v>
      </c>
      <c r="I10" s="24">
        <f t="shared" ref="I10:I13" si="4">H10*IF(E10&gt;B$7,0,IF(E10&lt;B$7, B$6))</f>
        <v>0</v>
      </c>
    </row>
    <row r="11" spans="1:9" x14ac:dyDescent="0.25">
      <c r="A11" s="3">
        <v>393025</v>
      </c>
      <c r="B11" s="8">
        <v>205500</v>
      </c>
      <c r="C11" s="8">
        <v>30000</v>
      </c>
      <c r="D11" s="17">
        <f t="shared" si="0"/>
        <v>175500</v>
      </c>
      <c r="E11" s="9">
        <f t="shared" si="1"/>
        <v>0.145985401459854</v>
      </c>
      <c r="F11" s="3">
        <v>25</v>
      </c>
      <c r="G11" s="25">
        <f t="shared" si="2"/>
        <v>2.3804063987467242E-4</v>
      </c>
      <c r="H11" s="23">
        <f t="shared" si="3"/>
        <v>606.20624999999995</v>
      </c>
      <c r="I11" s="24">
        <f t="shared" si="4"/>
        <v>2.30358375</v>
      </c>
    </row>
    <row r="12" spans="1:9" x14ac:dyDescent="0.25">
      <c r="A12" s="3">
        <v>392600</v>
      </c>
      <c r="B12" s="8">
        <v>285900</v>
      </c>
      <c r="C12" s="8">
        <v>50000</v>
      </c>
      <c r="D12" s="17">
        <f t="shared" si="0"/>
        <v>235900</v>
      </c>
      <c r="E12" s="9">
        <f t="shared" si="1"/>
        <v>0.17488632388947184</v>
      </c>
      <c r="F12" s="3">
        <v>15</v>
      </c>
      <c r="G12" s="25">
        <f t="shared" si="2"/>
        <v>3.9587833702172363E-4</v>
      </c>
      <c r="H12" s="23">
        <f t="shared" si="3"/>
        <v>1358.0631944444444</v>
      </c>
      <c r="I12" s="24">
        <f t="shared" si="4"/>
        <v>5.1606401388888887</v>
      </c>
    </row>
    <row r="13" spans="1:9" x14ac:dyDescent="0.25">
      <c r="A13" s="3">
        <v>392638</v>
      </c>
      <c r="B13" s="8">
        <v>329900</v>
      </c>
      <c r="C13" s="8">
        <v>70000</v>
      </c>
      <c r="D13" s="17">
        <f t="shared" si="0"/>
        <v>259900</v>
      </c>
      <c r="E13" s="9">
        <f t="shared" si="1"/>
        <v>0.21218551076083661</v>
      </c>
      <c r="F13" s="3">
        <v>30</v>
      </c>
      <c r="G13" s="25">
        <f t="shared" si="2"/>
        <v>1.9847449705946387E-4</v>
      </c>
      <c r="H13" s="23">
        <f t="shared" si="3"/>
        <v>748.11493055555547</v>
      </c>
      <c r="I13" s="24">
        <f t="shared" si="4"/>
        <v>0</v>
      </c>
    </row>
    <row r="17" spans="2:2" x14ac:dyDescent="0.25">
      <c r="B17" s="22"/>
    </row>
  </sheetData>
  <mergeCells count="1">
    <mergeCell ref="A3:B3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uL/rHqx4euK3y43XjooOoaNveV5Jpem1gvzR8NmzGn0=-~mVXvHrFHUV/shNE1cur2KA==</id>
</project>
</file>

<file path=customXml/itemProps1.xml><?xml version="1.0" encoding="utf-8"?>
<ds:datastoreItem xmlns:ds="http://schemas.openxmlformats.org/officeDocument/2006/customXml" ds:itemID="{3409E055-367F-4C5E-AB3B-60C1EA25B169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Details</vt:lpstr>
      <vt:lpstr>PaymentInfo</vt:lpstr>
      <vt:lpstr>Avg_Cost</vt:lpstr>
      <vt:lpstr>Highest_House</vt:lpstr>
      <vt:lpstr>Lowest_House</vt:lpstr>
      <vt:lpstr>Median_Cost</vt:lpstr>
      <vt:lpstr>Text</vt:lpstr>
      <vt:lpstr>Total_Cost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rice.134</dc:creator>
  <cp:lastModifiedBy>Xu Yu</cp:lastModifiedBy>
  <dcterms:created xsi:type="dcterms:W3CDTF">2015-08-05T02:09:34Z</dcterms:created>
  <dcterms:modified xsi:type="dcterms:W3CDTF">2017-09-12T02:44:19Z</dcterms:modified>
</cp:coreProperties>
</file>