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 codeName="ThisWorkbook"/>
  <bookViews>
    <workbookView xWindow="0" yWindow="0" windowWidth="28800" windowHeight="13500" activeTab="1" xr2:uid="{00000000-000D-0000-FFFF-FFFF00000000}"/>
    <workbookView xWindow="0" yWindow="0" windowWidth="14040" windowHeight="6090" activeTab="1" xr2:uid="{67B64702-4AF7-4538-9535-36FBA72E5076}"/>
  </bookViews>
  <sheets>
    <sheet name="Assumptions" sheetId="4" r:id="rId1"/>
    <sheet name="What if Analysis" sheetId="5" r:id="rId2"/>
    <sheet name="Pro Forma" sheetId="3" r:id="rId3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.Dump" hidden="1">OFFSET([0]!Data.Top.Left,1,0)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Show.Acct.Update.Warning" hidden="1">#REF!</definedName>
    <definedName name="Show.MDB.Update.Warning" hidden="1">#REF!</definedName>
  </definedNames>
  <calcPr calcId="171027" iterate="1" iterateCount="104"/>
</workbook>
</file>

<file path=xl/calcChain.xml><?xml version="1.0" encoding="utf-8"?>
<calcChain xmlns="http://schemas.openxmlformats.org/spreadsheetml/2006/main">
  <c r="E6" i="5" l="1"/>
  <c r="C6" i="5"/>
  <c r="B6" i="5"/>
  <c r="K4" i="4"/>
  <c r="J4" i="4"/>
  <c r="I4" i="4"/>
  <c r="E4" i="3"/>
  <c r="D4" i="3"/>
  <c r="C4" i="3"/>
  <c r="C11" i="3" s="1"/>
  <c r="B4" i="3"/>
  <c r="K3" i="4"/>
  <c r="I3" i="4"/>
  <c r="J3" i="4"/>
  <c r="E28" i="3"/>
  <c r="G11" i="4"/>
  <c r="G10" i="4"/>
  <c r="G9" i="4"/>
  <c r="G8" i="4"/>
  <c r="G7" i="4"/>
  <c r="B18" i="3" s="1"/>
  <c r="G6" i="4"/>
  <c r="G5" i="4"/>
  <c r="G4" i="4"/>
  <c r="F11" i="4"/>
  <c r="B12" i="3"/>
  <c r="F10" i="4"/>
  <c r="F9" i="4"/>
  <c r="B10" i="3" s="1"/>
  <c r="F8" i="4"/>
  <c r="F7" i="4"/>
  <c r="F6" i="4"/>
  <c r="F5" i="4"/>
  <c r="F4" i="4"/>
  <c r="B5" i="3" s="1"/>
  <c r="D28" i="3"/>
  <c r="C28" i="3"/>
  <c r="B28" i="3"/>
  <c r="B11" i="3"/>
  <c r="B9" i="3"/>
  <c r="B8" i="3"/>
  <c r="B7" i="3"/>
  <c r="B6" i="3"/>
  <c r="B13" i="3"/>
  <c r="E29" i="3"/>
  <c r="D29" i="3"/>
  <c r="C29" i="3"/>
  <c r="B29" i="3"/>
  <c r="B11" i="4"/>
  <c r="B14" i="4"/>
  <c r="B27" i="3"/>
  <c r="B26" i="3"/>
  <c r="B6" i="4"/>
  <c r="B5" i="4"/>
  <c r="B4" i="4"/>
  <c r="B8" i="4"/>
  <c r="B7" i="4"/>
  <c r="F12" i="4"/>
  <c r="D11" i="3" l="1"/>
  <c r="E11" i="3" s="1"/>
  <c r="C5" i="3"/>
  <c r="D5" i="3" s="1"/>
  <c r="E5" i="3" s="1"/>
  <c r="C12" i="3"/>
  <c r="C8" i="3"/>
  <c r="D8" i="3" s="1"/>
  <c r="E8" i="3" s="1"/>
  <c r="C10" i="3"/>
  <c r="D10" i="3" s="1"/>
  <c r="E10" i="3" s="1"/>
  <c r="C6" i="3"/>
  <c r="D6" i="3" s="1"/>
  <c r="E6" i="3" s="1"/>
  <c r="C9" i="3"/>
  <c r="D9" i="3" s="1"/>
  <c r="E9" i="3" s="1"/>
  <c r="C7" i="3"/>
  <c r="D7" i="3" s="1"/>
  <c r="E7" i="3" s="1"/>
  <c r="B21" i="3"/>
  <c r="B22" i="3"/>
  <c r="B20" i="3"/>
  <c r="B19" i="3"/>
  <c r="B17" i="3"/>
  <c r="B16" i="3"/>
  <c r="B15" i="3"/>
  <c r="D12" i="3" l="1"/>
  <c r="E12" i="3" s="1"/>
  <c r="C16" i="3"/>
  <c r="C17" i="3"/>
  <c r="C18" i="3"/>
  <c r="B23" i="3"/>
  <c r="G12" i="4" s="1"/>
  <c r="C15" i="3"/>
  <c r="E16" i="3" l="1"/>
  <c r="D16" i="3"/>
  <c r="C19" i="3"/>
  <c r="B24" i="3"/>
  <c r="B30" i="3" s="1"/>
  <c r="B31" i="3" s="1"/>
  <c r="B32" i="3" s="1"/>
  <c r="B33" i="3" s="1"/>
  <c r="B34" i="3" s="1"/>
  <c r="D15" i="3"/>
  <c r="E17" i="3" l="1"/>
  <c r="D17" i="3"/>
  <c r="C20" i="3"/>
  <c r="E15" i="3"/>
  <c r="E18" i="3" l="1"/>
  <c r="D18" i="3"/>
  <c r="C21" i="3"/>
  <c r="E19" i="3" l="1"/>
  <c r="D19" i="3"/>
  <c r="C22" i="3"/>
  <c r="C23" i="3" s="1"/>
  <c r="C13" i="3"/>
  <c r="D20" i="3" l="1"/>
  <c r="E20" i="3"/>
  <c r="C26" i="3"/>
  <c r="C27" i="3"/>
  <c r="C24" i="3"/>
  <c r="C30" i="3" s="1"/>
  <c r="E21" i="3" l="1"/>
  <c r="D21" i="3"/>
  <c r="C31" i="3"/>
  <c r="C32" i="3" s="1"/>
  <c r="C33" i="3" s="1"/>
  <c r="C34" i="3" s="1"/>
  <c r="D13" i="3" l="1"/>
  <c r="D22" i="3"/>
  <c r="D23" i="3" s="1"/>
  <c r="E22" i="3" l="1"/>
  <c r="E23" i="3" s="1"/>
  <c r="E13" i="3"/>
  <c r="D27" i="3"/>
  <c r="D26" i="3"/>
  <c r="D24" i="3"/>
  <c r="D30" i="3" s="1"/>
  <c r="D31" i="3" l="1"/>
  <c r="D32" i="3" s="1"/>
  <c r="D33" i="3" s="1"/>
  <c r="D34" i="3" s="1"/>
  <c r="E27" i="3"/>
  <c r="E26" i="3"/>
  <c r="E24" i="3"/>
  <c r="E30" i="3" s="1"/>
  <c r="E31" i="3" l="1"/>
  <c r="E32" i="3" s="1"/>
  <c r="E33" i="3" s="1"/>
  <c r="E34" i="3" s="1"/>
</calcChain>
</file>

<file path=xl/sharedStrings.xml><?xml version="1.0" encoding="utf-8"?>
<sst xmlns="http://schemas.openxmlformats.org/spreadsheetml/2006/main" count="73" uniqueCount="55">
  <si>
    <t xml:space="preserve">Operating Expenses Estimates </t>
  </si>
  <si>
    <t>Assumption</t>
  </si>
  <si>
    <t>Sales and Marketing</t>
  </si>
  <si>
    <t>General And Adminstrative</t>
  </si>
  <si>
    <t>Depreciation</t>
  </si>
  <si>
    <t>Store Manager</t>
  </si>
  <si>
    <t>Employee Hourly Wage</t>
  </si>
  <si>
    <t>Numbers of Employees</t>
  </si>
  <si>
    <t>Work Week</t>
  </si>
  <si>
    <t>Weeks Work per Year</t>
  </si>
  <si>
    <t>Common Costs</t>
  </si>
  <si>
    <t>Taxes</t>
  </si>
  <si>
    <t xml:space="preserve">Initial 2008 Data </t>
  </si>
  <si>
    <t>Total Sales and COGS based on these %</t>
  </si>
  <si>
    <t>SALES</t>
  </si>
  <si>
    <t>COGS</t>
  </si>
  <si>
    <t>Deli</t>
  </si>
  <si>
    <t>Dairy</t>
  </si>
  <si>
    <t>Canned Goods</t>
  </si>
  <si>
    <t>Frozen Foods</t>
  </si>
  <si>
    <t>Meats</t>
  </si>
  <si>
    <t>Produce</t>
  </si>
  <si>
    <t>Dry Goods</t>
  </si>
  <si>
    <t>Video Sales</t>
  </si>
  <si>
    <t>Total Sales</t>
  </si>
  <si>
    <t>Common Costs(Owner's Salary)</t>
  </si>
  <si>
    <t>Assistant Manager</t>
  </si>
  <si>
    <t>Total Sales $</t>
  </si>
  <si>
    <t>Sales Growth</t>
  </si>
  <si>
    <t xml:space="preserve">Growth Percentage </t>
  </si>
  <si>
    <r>
      <rPr>
        <b/>
        <sz val="16"/>
        <rFont val="Arial"/>
        <family val="2"/>
      </rPr>
      <t xml:space="preserve">Pro-Forma Income Statement </t>
    </r>
    <r>
      <rPr>
        <b/>
        <sz val="10"/>
        <rFont val="Arial"/>
        <family val="2"/>
      </rPr>
      <t xml:space="preserve">
</t>
    </r>
    <r>
      <rPr>
        <b/>
        <sz val="14"/>
        <rFont val="Arial"/>
        <family val="2"/>
      </rPr>
      <t xml:space="preserve">Maxi's Food Mart </t>
    </r>
    <r>
      <rPr>
        <b/>
        <sz val="10"/>
        <rFont val="Arial"/>
        <family val="2"/>
      </rPr>
      <t xml:space="preserve">
2008 through 2011</t>
    </r>
  </si>
  <si>
    <t>COST OF GOODS SOLD</t>
  </si>
  <si>
    <t xml:space="preserve">Dairy </t>
  </si>
  <si>
    <t xml:space="preserve">Total Cost of Goods Sold </t>
  </si>
  <si>
    <t>Gross Profit(Loss)</t>
  </si>
  <si>
    <t>OPERATING EXPENSES</t>
  </si>
  <si>
    <t>General and Administrative</t>
  </si>
  <si>
    <t>Wages</t>
  </si>
  <si>
    <t>Income Before Taxes</t>
  </si>
  <si>
    <t>Income Taxes</t>
  </si>
  <si>
    <t>Net Income</t>
  </si>
  <si>
    <t>Total Operating Expenses</t>
  </si>
  <si>
    <t>Net Income Projections</t>
  </si>
  <si>
    <t>Initial</t>
  </si>
  <si>
    <t>Scenario 1</t>
  </si>
  <si>
    <t>Scenario 2</t>
  </si>
  <si>
    <t>Scenario 3</t>
  </si>
  <si>
    <t>Scenario 4</t>
  </si>
  <si>
    <t>Legend</t>
  </si>
  <si>
    <t>Hourly Employeess: 19</t>
  </si>
  <si>
    <t>(Salary)Mr Feronti:8% Hourly Wage: $15</t>
  </si>
  <si>
    <t>(Sales Growth) 2009: 6.25% 2010: 7.75% 2011: 8.25%</t>
  </si>
  <si>
    <t>(Sales Growth) 2009: 9% 2010: 9.5% 2011: 10%</t>
  </si>
  <si>
    <t>(Sales Growth) 2009: 4% 2010: 5% 2011: 5.5%</t>
  </si>
  <si>
    <t>249.071.54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</si>
</sst>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&quot;$&quot;#,##0.00"/>
  </numFmts>
  <fonts count="36" x14ac:knownFonts="1">
    <font>
      <sz val="10"/>
      <name val="Arial"/>
    </font>
    <font>
      <sz val="10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82">
    <xf numFmtId="0" fontId="0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3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6" borderId="0" applyNumberFormat="0" applyBorder="0" applyAlignment="0" applyProtection="0"/>
    <xf numFmtId="0" fontId="18" fillId="3" borderId="0" applyNumberFormat="0" applyBorder="0" applyAlignment="0" applyProtection="0"/>
    <xf numFmtId="0" fontId="18" fillId="9" borderId="0" applyNumberFormat="0" applyBorder="0" applyAlignment="0" applyProtection="0"/>
    <xf numFmtId="0" fontId="18" fillId="8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37" fontId="2" fillId="16" borderId="1" applyBorder="0" applyProtection="0">
      <alignment vertical="center"/>
    </xf>
    <xf numFmtId="0" fontId="19" fillId="17" borderId="0" applyNumberFormat="0" applyBorder="0" applyAlignment="0" applyProtection="0"/>
    <xf numFmtId="5" fontId="3" fillId="0" borderId="2">
      <protection locked="0"/>
    </xf>
    <xf numFmtId="0" fontId="4" fillId="18" borderId="0" applyBorder="0">
      <alignment horizontal="left" vertical="center" indent="1"/>
    </xf>
    <xf numFmtId="0" fontId="20" fillId="4" borderId="3" applyNumberFormat="0" applyAlignment="0" applyProtection="0"/>
    <xf numFmtId="0" fontId="21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5" fillId="0" borderId="5"/>
    <xf numFmtId="4" fontId="3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3" fillId="6" borderId="0" applyNumberFormat="0" applyBorder="0" applyAlignment="0" applyProtection="0"/>
    <xf numFmtId="4" fontId="3" fillId="21" borderId="5"/>
    <xf numFmtId="43" fontId="6" fillId="0" borderId="6"/>
    <xf numFmtId="37" fontId="7" fillId="22" borderId="2" applyBorder="0">
      <alignment horizontal="left" vertical="center" indent="1"/>
    </xf>
    <xf numFmtId="37" fontId="8" fillId="23" borderId="7" applyFill="0">
      <alignment vertical="center"/>
    </xf>
    <xf numFmtId="0" fontId="8" fillId="24" borderId="8" applyNumberFormat="0">
      <alignment horizontal="left" vertical="top" indent="1"/>
    </xf>
    <xf numFmtId="0" fontId="8" fillId="16" borderId="0" applyBorder="0">
      <alignment horizontal="left" vertical="center" indent="1"/>
    </xf>
    <xf numFmtId="0" fontId="8" fillId="0" borderId="8" applyNumberFormat="0" applyFill="0">
      <alignment horizontal="centerContinuous" vertical="top"/>
    </xf>
    <xf numFmtId="0" fontId="9" fillId="0" borderId="0" applyNumberFormat="0" applyFont="0" applyFill="0" applyAlignment="0" applyProtection="0"/>
    <xf numFmtId="0" fontId="10" fillId="0" borderId="0" applyNumberFormat="0" applyFont="0" applyFill="0" applyAlignment="0" applyProtection="0"/>
    <xf numFmtId="0" fontId="24" fillId="0" borderId="9" applyNumberFormat="0" applyFill="0" applyAlignment="0" applyProtection="0"/>
    <xf numFmtId="0" fontId="24" fillId="0" borderId="0" applyNumberFormat="0" applyFill="0" applyBorder="0" applyAlignment="0" applyProtection="0"/>
    <xf numFmtId="0" fontId="25" fillId="10" borderId="3" applyNumberFormat="0" applyAlignment="0" applyProtection="0"/>
    <xf numFmtId="43" fontId="6" fillId="0" borderId="10"/>
    <xf numFmtId="0" fontId="26" fillId="0" borderId="11" applyNumberFormat="0" applyFill="0" applyAlignment="0" applyProtection="0"/>
    <xf numFmtId="44" fontId="6" fillId="0" borderId="12"/>
    <xf numFmtId="0" fontId="27" fillId="7" borderId="0" applyNumberFormat="0" applyBorder="0" applyAlignment="0" applyProtection="0"/>
    <xf numFmtId="0" fontId="11" fillId="23" borderId="0">
      <alignment horizontal="left" wrapText="1" indent="1"/>
    </xf>
    <xf numFmtId="37" fontId="2" fillId="16" borderId="13" applyBorder="0">
      <alignment horizontal="left" vertical="center" indent="2"/>
    </xf>
    <xf numFmtId="0" fontId="12" fillId="0" borderId="0"/>
    <xf numFmtId="0" fontId="1" fillId="7" borderId="14" applyNumberFormat="0" applyFont="0" applyAlignment="0" applyProtection="0"/>
    <xf numFmtId="0" fontId="28" fillId="4" borderId="15" applyNumberFormat="0" applyAlignment="0" applyProtection="0"/>
    <xf numFmtId="169" fontId="13" fillId="25" borderId="16"/>
    <xf numFmtId="168" fontId="13" fillId="0" borderId="16" applyFont="0" applyFill="0" applyBorder="0" applyAlignment="0" applyProtection="0">
      <protection locked="0"/>
    </xf>
    <xf numFmtId="2" fontId="14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0">
      <alignment horizontal="right"/>
    </xf>
    <xf numFmtId="0" fontId="16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</cellStyleXfs>
  <cellXfs count="55">
    <xf numFmtId="0" fontId="0" fillId="0" borderId="0" xfId="0"/>
    <xf numFmtId="0" fontId="32" fillId="27" borderId="19" xfId="0" applyFont="1" applyFill="1" applyBorder="1" applyAlignment="1">
      <alignment horizontal="center" vertical="center"/>
    </xf>
    <xf numFmtId="0" fontId="32" fillId="27" borderId="20" xfId="0" applyFont="1" applyFill="1" applyBorder="1" applyAlignment="1">
      <alignment horizontal="center" vertical="center"/>
    </xf>
    <xf numFmtId="0" fontId="32" fillId="27" borderId="21" xfId="0" applyFont="1" applyFill="1" applyBorder="1" applyAlignment="1">
      <alignment horizontal="center" vertical="center"/>
    </xf>
    <xf numFmtId="0" fontId="32" fillId="27" borderId="22" xfId="0" applyFont="1" applyFill="1" applyBorder="1" applyAlignment="1">
      <alignment horizontal="center" vertical="center"/>
    </xf>
    <xf numFmtId="0" fontId="0" fillId="28" borderId="24" xfId="0" applyFill="1" applyBorder="1"/>
    <xf numFmtId="0" fontId="0" fillId="28" borderId="25" xfId="0" applyFill="1" applyBorder="1"/>
    <xf numFmtId="0" fontId="1" fillId="0" borderId="24" xfId="0" applyFont="1" applyBorder="1"/>
    <xf numFmtId="0" fontId="1" fillId="0" borderId="26" xfId="0" applyFont="1" applyBorder="1"/>
    <xf numFmtId="0" fontId="0" fillId="28" borderId="21" xfId="0" applyFill="1" applyBorder="1"/>
    <xf numFmtId="0" fontId="10" fillId="28" borderId="33" xfId="0" applyFont="1" applyFill="1" applyBorder="1"/>
    <xf numFmtId="0" fontId="10" fillId="28" borderId="22" xfId="0" applyFont="1" applyFill="1" applyBorder="1"/>
    <xf numFmtId="0" fontId="33" fillId="27" borderId="34" xfId="0" applyFont="1" applyFill="1" applyBorder="1" applyAlignment="1">
      <alignment horizontal="center" vertical="center"/>
    </xf>
    <xf numFmtId="0" fontId="33" fillId="27" borderId="28" xfId="0" applyFont="1" applyFill="1" applyBorder="1" applyAlignment="1">
      <alignment horizontal="center" vertical="center"/>
    </xf>
    <xf numFmtId="0" fontId="33" fillId="27" borderId="35" xfId="0" applyFont="1" applyFill="1" applyBorder="1" applyAlignment="1">
      <alignment horizontal="center" vertical="center"/>
    </xf>
    <xf numFmtId="0" fontId="33" fillId="27" borderId="29" xfId="0" applyFont="1" applyFill="1" applyBorder="1" applyAlignment="1">
      <alignment horizontal="center" vertical="center"/>
    </xf>
    <xf numFmtId="0" fontId="33" fillId="27" borderId="30" xfId="0" applyFont="1" applyFill="1" applyBorder="1" applyAlignment="1">
      <alignment horizontal="center" vertical="center"/>
    </xf>
    <xf numFmtId="0" fontId="33" fillId="27" borderId="31" xfId="0" applyFont="1" applyFill="1" applyBorder="1" applyAlignment="1">
      <alignment horizontal="center" vertical="center"/>
    </xf>
    <xf numFmtId="0" fontId="34" fillId="0" borderId="32" xfId="0" applyFont="1" applyBorder="1"/>
    <xf numFmtId="0" fontId="34" fillId="0" borderId="23" xfId="0" applyFont="1" applyBorder="1"/>
    <xf numFmtId="0" fontId="34" fillId="0" borderId="29" xfId="0" applyFont="1" applyBorder="1"/>
    <xf numFmtId="0" fontId="0" fillId="28" borderId="18" xfId="0" applyFill="1" applyBorder="1"/>
    <xf numFmtId="0" fontId="0" fillId="0" borderId="0" xfId="0" applyAlignment="1">
      <alignment vertical="center"/>
    </xf>
    <xf numFmtId="0" fontId="32" fillId="27" borderId="37" xfId="0" applyFont="1" applyFill="1" applyBorder="1" applyAlignment="1">
      <alignment horizontal="center" vertical="center"/>
    </xf>
    <xf numFmtId="0" fontId="32" fillId="27" borderId="38" xfId="0" applyFont="1" applyFill="1" applyBorder="1" applyAlignment="1">
      <alignment horizontal="center" vertical="center"/>
    </xf>
    <xf numFmtId="0" fontId="32" fillId="27" borderId="39" xfId="0" applyFont="1" applyFill="1" applyBorder="1" applyAlignment="1">
      <alignment horizontal="center" vertical="center"/>
    </xf>
    <xf numFmtId="0" fontId="32" fillId="27" borderId="24" xfId="0" applyFont="1" applyFill="1" applyBorder="1" applyAlignment="1">
      <alignment horizontal="center" vertical="center"/>
    </xf>
    <xf numFmtId="0" fontId="32" fillId="27" borderId="18" xfId="0" applyFont="1" applyFill="1" applyBorder="1" applyAlignment="1">
      <alignment horizontal="center" vertical="center"/>
    </xf>
    <xf numFmtId="0" fontId="32" fillId="27" borderId="25" xfId="0" applyFont="1" applyFill="1" applyBorder="1" applyAlignment="1">
      <alignment horizontal="center" vertical="center"/>
    </xf>
    <xf numFmtId="0" fontId="34" fillId="29" borderId="0" xfId="0" applyFont="1" applyFill="1" applyAlignment="1">
      <alignment horizontal="center" vertical="center" wrapText="1"/>
    </xf>
    <xf numFmtId="0" fontId="34" fillId="29" borderId="0" xfId="0" applyFont="1" applyFill="1" applyAlignment="1">
      <alignment horizontal="center" vertical="center"/>
    </xf>
    <xf numFmtId="0" fontId="34" fillId="30" borderId="0" xfId="0" applyFont="1" applyFill="1"/>
    <xf numFmtId="0" fontId="0" fillId="30" borderId="0" xfId="0" applyFill="1"/>
    <xf numFmtId="0" fontId="34" fillId="30" borderId="0" xfId="0" applyFont="1" applyFill="1" applyBorder="1"/>
    <xf numFmtId="0" fontId="1" fillId="31" borderId="0" xfId="0" applyFont="1" applyFill="1" applyBorder="1"/>
    <xf numFmtId="0" fontId="34" fillId="31" borderId="41" xfId="0" applyFont="1" applyFill="1" applyBorder="1"/>
    <xf numFmtId="44" fontId="0" fillId="31" borderId="0" xfId="0" applyNumberFormat="1" applyFill="1" applyBorder="1"/>
    <xf numFmtId="10" fontId="0" fillId="0" borderId="24" xfId="0" applyNumberFormat="1" applyBorder="1"/>
    <xf numFmtId="10" fontId="0" fillId="0" borderId="25" xfId="0" applyNumberFormat="1" applyBorder="1"/>
    <xf numFmtId="10" fontId="0" fillId="0" borderId="26" xfId="0" applyNumberFormat="1" applyBorder="1"/>
    <xf numFmtId="10" fontId="0" fillId="0" borderId="27" xfId="0" applyNumberFormat="1" applyBorder="1"/>
    <xf numFmtId="44" fontId="1" fillId="31" borderId="0" xfId="0" applyNumberFormat="1" applyFont="1" applyFill="1" applyBorder="1"/>
    <xf numFmtId="44" fontId="0" fillId="0" borderId="29" xfId="0" applyNumberFormat="1" applyBorder="1"/>
    <xf numFmtId="44" fontId="0" fillId="31" borderId="41" xfId="0" applyNumberFormat="1" applyFill="1" applyBorder="1"/>
    <xf numFmtId="10" fontId="0" fillId="0" borderId="40" xfId="0" applyNumberFormat="1" applyBorder="1"/>
    <xf numFmtId="44" fontId="0" fillId="0" borderId="0" xfId="0" applyNumberFormat="1"/>
    <xf numFmtId="170" fontId="0" fillId="0" borderId="25" xfId="0" applyNumberFormat="1" applyBorder="1"/>
    <xf numFmtId="44" fontId="0" fillId="0" borderId="36" xfId="0" applyNumberFormat="1" applyBorder="1"/>
    <xf numFmtId="41" fontId="0" fillId="0" borderId="25" xfId="0" applyNumberFormat="1" applyBorder="1"/>
    <xf numFmtId="44" fontId="0" fillId="30" borderId="0" xfId="0" applyNumberFormat="1" applyFill="1" applyBorder="1"/>
    <xf numFmtId="10" fontId="1" fillId="0" borderId="25" xfId="0" applyNumberFormat="1" applyFont="1" applyBorder="1"/>
    <xf numFmtId="0" fontId="34" fillId="0" borderId="18" xfId="0" applyFont="1" applyBorder="1" applyAlignment="1">
      <alignment horizontal="center" vertical="center"/>
    </xf>
    <xf numFmtId="0" fontId="34" fillId="0" borderId="18" xfId="0" applyFont="1" applyBorder="1"/>
    <xf numFmtId="0" fontId="34" fillId="0" borderId="18" xfId="0" applyFont="1" applyBorder="1" applyAlignment="1"/>
    <xf numFmtId="44" fontId="1" fillId="0" borderId="18" xfId="0" applyNumberFormat="1" applyFont="1" applyBorder="1"/>
  </cellXfs>
  <cellStyles count="8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7A1Eeel8SkcwCbn1y3W8Z3tDEWBZgVPc7AGQ97G1C9g=-~3PdKXVtTdNlUZuQqePHg3g==" xfId="79" xr:uid="{00000000-0005-0000-0000-00004F000000}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5qOjRkqB7rBwMo65X1SwGHZ0td2T9Eb7E8Mii6gdbU=-~sbo9F0uY5ylEB+EXyJmIjA==" xfId="74" xr:uid="{00000000-0005-0000-0000-00004A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0" xfId="31" xr:uid="{00000000-0005-0000-0000-00001E000000}"/>
    <cellStyle name="Currency0" xfId="32" xr:uid="{00000000-0005-0000-0000-00001F000000}"/>
    <cellStyle name="DarkBlueOutline" xfId="33" xr:uid="{00000000-0005-0000-0000-000020000000}"/>
    <cellStyle name="DarkBlueOutlineYellow" xfId="34" xr:uid="{00000000-0005-0000-0000-000021000000}"/>
    <cellStyle name="Date" xfId="35" xr:uid="{00000000-0005-0000-0000-000022000000}"/>
    <cellStyle name="Dezimal [0]_Compiling Utility Macros" xfId="36" xr:uid="{00000000-0005-0000-0000-000023000000}"/>
    <cellStyle name="Dezimal_Compiling Utility Macros" xfId="37" xr:uid="{00000000-0005-0000-0000-000024000000}"/>
    <cellStyle name="Explanatory Text" xfId="38" builtinId="53" customBuiltin="1"/>
    <cellStyle name="Fixed" xfId="39" xr:uid="{00000000-0005-0000-0000-000026000000}"/>
    <cellStyle name="FzsDaeYB+l9KrAV8Nc6nC2nP3PYP8cAJV2Mbj2fR6Fo=-~SjmOCsooAh2piFn5Fw9HLA==" xfId="76" xr:uid="{00000000-0005-0000-0000-00004C000000}"/>
    <cellStyle name="Good" xfId="40" builtinId="26" customBuiltin="1"/>
    <cellStyle name="GRAY" xfId="41" xr:uid="{00000000-0005-0000-0000-000028000000}"/>
    <cellStyle name="Gross Margin" xfId="42" xr:uid="{00000000-0005-0000-0000-000029000000}"/>
    <cellStyle name="header" xfId="43" xr:uid="{00000000-0005-0000-0000-00002A000000}"/>
    <cellStyle name="Header Total" xfId="44" xr:uid="{00000000-0005-0000-0000-00002B000000}"/>
    <cellStyle name="Header1" xfId="45" xr:uid="{00000000-0005-0000-0000-00002C000000}"/>
    <cellStyle name="Header2" xfId="46" xr:uid="{00000000-0005-0000-0000-00002D000000}"/>
    <cellStyle name="Header3" xfId="47" xr:uid="{00000000-0005-0000-0000-00002E000000}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ohAMjBIvfHeNPwBrT1Bn7JnKfRsUfi4+xl7xM+DptI=-~5YYhJKwf0WcKEB7t24DQgg==" xfId="75" xr:uid="{00000000-0005-0000-0000-00004B000000}"/>
    <cellStyle name="Input" xfId="52" builtinId="20" customBuiltin="1"/>
    <cellStyle name="l3JNiSKqVosh3i84/uNE+vQCV9LYCqfecMDspkmmIfQ=-~3gCQxvN1PDgz8xdfaNZh5g==" xfId="77" xr:uid="{00000000-0005-0000-0000-00004D000000}"/>
    <cellStyle name="Level 2 Total" xfId="53" xr:uid="{00000000-0005-0000-0000-000034000000}"/>
    <cellStyle name="Linked Cell" xfId="54" builtinId="24" customBuiltin="1"/>
    <cellStyle name="Major Total" xfId="55" xr:uid="{00000000-0005-0000-0000-000036000000}"/>
    <cellStyle name="Neutral" xfId="56" builtinId="28" customBuiltin="1"/>
    <cellStyle name="NonPrint_TemTitle" xfId="57" xr:uid="{00000000-0005-0000-0000-000038000000}"/>
    <cellStyle name="Normal" xfId="0" builtinId="0"/>
    <cellStyle name="Normal 2" xfId="58" xr:uid="{00000000-0005-0000-0000-00003A000000}"/>
    <cellStyle name="NormalRed" xfId="59" xr:uid="{00000000-0005-0000-0000-00003B000000}"/>
    <cellStyle name="Note" xfId="60" builtinId="10" customBuiltin="1"/>
    <cellStyle name="nV3W5GxISE8ZOmZySrYQULm6F+fAxv5rxhpNZC9VrRE=-~bRAhSPndj8BW7UPM+O06vQ==" xfId="80" xr:uid="{00000000-0005-0000-0000-000050000000}"/>
    <cellStyle name="Output" xfId="61" builtinId="21" customBuiltin="1"/>
    <cellStyle name="Percent.0" xfId="62" xr:uid="{00000000-0005-0000-0000-00003E000000}"/>
    <cellStyle name="Percent.00" xfId="63" xr:uid="{00000000-0005-0000-0000-00003F000000}"/>
    <cellStyle name="RED POSTED" xfId="64" xr:uid="{00000000-0005-0000-0000-000040000000}"/>
    <cellStyle name="riVOlVwySN3/3YcD0Kmkpubt9AWW7M08nq5yFazVVG0=-~juzLP3FjaunJAx+rx28zHg==" xfId="78" xr:uid="{00000000-0005-0000-0000-00004E000000}"/>
    <cellStyle name="Standard_Anpassen der Amortisation" xfId="65" xr:uid="{00000000-0005-0000-0000-000041000000}"/>
    <cellStyle name="Text_simple" xfId="66" xr:uid="{00000000-0005-0000-0000-000042000000}"/>
    <cellStyle name="Title" xfId="67" builtinId="15" customBuiltin="1"/>
    <cellStyle name="TmsRmn10BlueItalic" xfId="68" xr:uid="{00000000-0005-0000-0000-000044000000}"/>
    <cellStyle name="TmsRmn10Bold" xfId="69" xr:uid="{00000000-0005-0000-0000-000045000000}"/>
    <cellStyle name="Total" xfId="70" builtinId="25" customBuiltin="1"/>
    <cellStyle name="Währung [0]_Compiling Utility Macros" xfId="71" xr:uid="{00000000-0005-0000-0000-000047000000}"/>
    <cellStyle name="Währung_Compiling Utility Macros" xfId="72" xr:uid="{00000000-0005-0000-0000-000048000000}"/>
    <cellStyle name="Warning Text" xfId="73" builtinId="11" customBuiltin="1"/>
    <cellStyle name="yxij322F05mmLN4mR82UV1k7nBG3Au0MA0JxGehZZ88=-~hqZ6oey03MynAnNz2HAbvQ==" xfId="81" xr:uid="{00000000-0005-0000-0000-00005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2E56-1D47-4215-AA0A-0DCE68BA748C}">
  <dimension ref="A1:K15"/>
  <sheetViews>
    <sheetView workbookViewId="0">
      <selection activeCell="B11" sqref="B11"/>
    </sheetView>
    <sheetView topLeftCell="C1" workbookViewId="1">
      <selection activeCell="B9" sqref="B9"/>
    </sheetView>
  </sheetViews>
  <sheetFormatPr defaultRowHeight="12.75" x14ac:dyDescent="0.2"/>
  <cols>
    <col min="1" max="1" width="28" bestFit="1" customWidth="1"/>
    <col min="2" max="2" width="19.7109375" customWidth="1"/>
    <col min="5" max="5" width="16.85546875" customWidth="1"/>
    <col min="6" max="6" width="17.7109375" bestFit="1" customWidth="1"/>
    <col min="7" max="7" width="22" customWidth="1"/>
  </cols>
  <sheetData>
    <row r="1" spans="1:11" ht="19.5" thickTop="1" thickBot="1" x14ac:dyDescent="0.25">
      <c r="A1" s="1" t="s">
        <v>0</v>
      </c>
      <c r="B1" s="2"/>
      <c r="E1" s="15" t="s">
        <v>12</v>
      </c>
      <c r="F1" s="16"/>
      <c r="G1" s="17"/>
      <c r="I1" s="23" t="s">
        <v>28</v>
      </c>
      <c r="J1" s="24"/>
      <c r="K1" s="25"/>
    </row>
    <row r="2" spans="1:11" ht="18.75" thickTop="1" x14ac:dyDescent="0.2">
      <c r="A2" s="3" t="s">
        <v>1</v>
      </c>
      <c r="B2" s="4"/>
      <c r="E2" s="12" t="s">
        <v>13</v>
      </c>
      <c r="F2" s="13"/>
      <c r="G2" s="14"/>
      <c r="I2" s="26" t="s">
        <v>29</v>
      </c>
      <c r="J2" s="27"/>
      <c r="K2" s="28"/>
    </row>
    <row r="3" spans="1:11" ht="15.75" x14ac:dyDescent="0.25">
      <c r="A3" s="5"/>
      <c r="B3" s="6"/>
      <c r="E3" s="9"/>
      <c r="F3" s="10" t="s">
        <v>14</v>
      </c>
      <c r="G3" s="11" t="s">
        <v>15</v>
      </c>
      <c r="I3" s="5">
        <f>2009</f>
        <v>2009</v>
      </c>
      <c r="J3" s="21">
        <f>2010</f>
        <v>2010</v>
      </c>
      <c r="K3" s="6">
        <f>2011</f>
        <v>2011</v>
      </c>
    </row>
    <row r="4" spans="1:11" ht="13.5" thickBot="1" x14ac:dyDescent="0.25">
      <c r="A4" s="7" t="s">
        <v>2</v>
      </c>
      <c r="B4" s="38">
        <f>0.055</f>
        <v>5.5E-2</v>
      </c>
      <c r="E4" s="18" t="s">
        <v>16</v>
      </c>
      <c r="F4" s="37">
        <f>0.05</f>
        <v>0.05</v>
      </c>
      <c r="G4" s="38">
        <f>0.5</f>
        <v>0.5</v>
      </c>
      <c r="I4" s="39">
        <f>6.25%</f>
        <v>6.25E-2</v>
      </c>
      <c r="J4" s="44">
        <f>0.0775</f>
        <v>7.7499999999999999E-2</v>
      </c>
      <c r="K4" s="40">
        <f>0.0825</f>
        <v>8.2500000000000004E-2</v>
      </c>
    </row>
    <row r="5" spans="1:11" ht="13.5" thickTop="1" x14ac:dyDescent="0.2">
      <c r="A5" s="7" t="s">
        <v>3</v>
      </c>
      <c r="B5" s="38">
        <f>0.0875</f>
        <v>8.7499999999999994E-2</v>
      </c>
      <c r="E5" s="18" t="s">
        <v>17</v>
      </c>
      <c r="F5" s="37">
        <f>0.19</f>
        <v>0.19</v>
      </c>
      <c r="G5" s="38">
        <f>0.5</f>
        <v>0.5</v>
      </c>
    </row>
    <row r="6" spans="1:11" x14ac:dyDescent="0.2">
      <c r="A6" s="7" t="s">
        <v>4</v>
      </c>
      <c r="B6" s="46">
        <f>20000</f>
        <v>20000</v>
      </c>
      <c r="E6" s="18" t="s">
        <v>18</v>
      </c>
      <c r="F6" s="37">
        <f>0.1</f>
        <v>0.1</v>
      </c>
      <c r="G6" s="38">
        <f>0.75</f>
        <v>0.75</v>
      </c>
    </row>
    <row r="7" spans="1:11" x14ac:dyDescent="0.2">
      <c r="A7" s="7" t="s">
        <v>5</v>
      </c>
      <c r="B7" s="46">
        <f>57000</f>
        <v>57000</v>
      </c>
      <c r="E7" s="18" t="s">
        <v>19</v>
      </c>
      <c r="F7" s="37">
        <f>0.22</f>
        <v>0.22</v>
      </c>
      <c r="G7" s="38">
        <f>0.65</f>
        <v>0.65</v>
      </c>
    </row>
    <row r="8" spans="1:11" x14ac:dyDescent="0.2">
      <c r="A8" s="7" t="s">
        <v>26</v>
      </c>
      <c r="B8" s="46">
        <f>42000</f>
        <v>42000</v>
      </c>
      <c r="E8" s="18" t="s">
        <v>20</v>
      </c>
      <c r="F8" s="37">
        <f>0.21</f>
        <v>0.21</v>
      </c>
      <c r="G8" s="38">
        <f>0.5</f>
        <v>0.5</v>
      </c>
    </row>
    <row r="9" spans="1:11" x14ac:dyDescent="0.2">
      <c r="A9" s="7" t="s">
        <v>6</v>
      </c>
      <c r="B9" s="46">
        <v>13</v>
      </c>
      <c r="E9" s="18" t="s">
        <v>21</v>
      </c>
      <c r="F9" s="37">
        <f>0.125</f>
        <v>0.125</v>
      </c>
      <c r="G9" s="38">
        <f>0.65</f>
        <v>0.65</v>
      </c>
    </row>
    <row r="10" spans="1:11" x14ac:dyDescent="0.2">
      <c r="A10" s="7" t="s">
        <v>7</v>
      </c>
      <c r="B10" s="48">
        <v>17</v>
      </c>
      <c r="E10" s="18" t="s">
        <v>22</v>
      </c>
      <c r="F10" s="37">
        <f>0.09</f>
        <v>0.09</v>
      </c>
      <c r="G10" s="50">
        <f>0.66</f>
        <v>0.66</v>
      </c>
      <c r="J10" s="22"/>
    </row>
    <row r="11" spans="1:11" ht="13.5" thickBot="1" x14ac:dyDescent="0.25">
      <c r="A11" s="7" t="s">
        <v>8</v>
      </c>
      <c r="B11" s="48">
        <f>40</f>
        <v>40</v>
      </c>
      <c r="E11" s="19" t="s">
        <v>23</v>
      </c>
      <c r="F11" s="37">
        <f>0.015</f>
        <v>1.4999999999999999E-2</v>
      </c>
      <c r="G11" s="38">
        <f>0.3</f>
        <v>0.3</v>
      </c>
    </row>
    <row r="12" spans="1:11" ht="14.25" thickTop="1" thickBot="1" x14ac:dyDescent="0.25">
      <c r="A12" s="7" t="s">
        <v>9</v>
      </c>
      <c r="B12" s="48">
        <v>50</v>
      </c>
      <c r="E12" s="20" t="s">
        <v>27</v>
      </c>
      <c r="F12" s="42">
        <f>'Pro Forma'!B13</f>
        <v>3750000</v>
      </c>
      <c r="G12" s="47">
        <f>'Pro Forma'!B23</f>
        <v>2205562.5</v>
      </c>
    </row>
    <row r="13" spans="1:11" ht="13.5" thickTop="1" x14ac:dyDescent="0.2">
      <c r="A13" s="7" t="s">
        <v>25</v>
      </c>
      <c r="B13" s="38">
        <v>0.12</v>
      </c>
    </row>
    <row r="14" spans="1:11" ht="13.5" thickBot="1" x14ac:dyDescent="0.25">
      <c r="A14" s="8" t="s">
        <v>11</v>
      </c>
      <c r="B14" s="40">
        <f>0.35</f>
        <v>0.35</v>
      </c>
    </row>
    <row r="15" spans="1:11" ht="13.5" thickTop="1" x14ac:dyDescent="0.2"/>
  </sheetData>
  <scenarios current="0">
    <scenario name="Question #1" locked="1" count="3" user="Author" comment="Created by Author on 9/18/2017">
      <inputCells r="I4" val="0.09"/>
      <inputCells r="J4" val="0.095"/>
      <inputCells r="K4" val="0.1"/>
    </scenario>
    <scenario name="Question #2" locked="1" count="3" user="Author" comment="Created by Author on 9/18/2017">
      <inputCells r="I4" val="0.04"/>
      <inputCells r="J4" val="0.05"/>
      <inputCells r="K4" val="0.055"/>
    </scenario>
    <scenario name="Question #4" locked="1" count="2" user="Author" comment="Created by Author on 9/18/2017">
      <inputCells r="B9" val="15"/>
      <inputCells r="B13" val="0.08"/>
    </scenario>
    <scenario name="Question #5" locked="1" count="1" user="Author" comment="Created by Author on 9/18/2017">
      <inputCells r="B10" val="19"/>
    </scenario>
  </scenarios>
  <mergeCells count="6">
    <mergeCell ref="A1:B1"/>
    <mergeCell ref="A2:B2"/>
    <mergeCell ref="E1:G1"/>
    <mergeCell ref="E2:G2"/>
    <mergeCell ref="I1:K1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3326D-4D7D-4645-A9A5-E8A6B37B8B42}">
  <dimension ref="A1:J7"/>
  <sheetViews>
    <sheetView tabSelected="1" workbookViewId="0">
      <selection sqref="A1:E1"/>
    </sheetView>
    <sheetView tabSelected="1" workbookViewId="1">
      <selection activeCell="E8" sqref="E8"/>
    </sheetView>
  </sheetViews>
  <sheetFormatPr defaultRowHeight="12.75" x14ac:dyDescent="0.2"/>
  <cols>
    <col min="1" max="1" width="10.7109375" bestFit="1" customWidth="1"/>
    <col min="2" max="5" width="12.28515625" bestFit="1" customWidth="1"/>
  </cols>
  <sheetData>
    <row r="1" spans="1:10" x14ac:dyDescent="0.2">
      <c r="A1" s="51" t="s">
        <v>42</v>
      </c>
      <c r="B1" s="51"/>
      <c r="C1" s="51"/>
      <c r="D1" s="51"/>
      <c r="E1" s="51"/>
      <c r="F1" s="51" t="s">
        <v>48</v>
      </c>
      <c r="G1" s="51"/>
      <c r="H1" s="51"/>
      <c r="I1" s="51"/>
      <c r="J1" s="51"/>
    </row>
    <row r="2" spans="1:10" x14ac:dyDescent="0.2">
      <c r="A2" s="52"/>
      <c r="B2" s="52">
        <v>2008</v>
      </c>
      <c r="C2" s="52">
        <v>2009</v>
      </c>
      <c r="D2" s="52">
        <v>2010</v>
      </c>
      <c r="E2" s="52">
        <v>2011</v>
      </c>
      <c r="F2" s="51"/>
      <c r="G2" s="51"/>
      <c r="H2" s="51"/>
      <c r="I2" s="51"/>
      <c r="J2" s="51"/>
    </row>
    <row r="3" spans="1:10" x14ac:dyDescent="0.2">
      <c r="A3" s="52" t="s">
        <v>43</v>
      </c>
      <c r="B3" s="54">
        <v>171424.5</v>
      </c>
      <c r="C3" s="54">
        <v>204929.16</v>
      </c>
      <c r="D3" s="54" t="s">
        <v>54</v>
      </c>
      <c r="E3" s="54">
        <v>299703.57</v>
      </c>
      <c r="F3" s="53" t="s">
        <v>51</v>
      </c>
      <c r="G3" s="53"/>
      <c r="H3" s="53"/>
      <c r="I3" s="53"/>
      <c r="J3" s="53"/>
    </row>
    <row r="4" spans="1:10" x14ac:dyDescent="0.2">
      <c r="A4" s="52" t="s">
        <v>44</v>
      </c>
      <c r="B4" s="54">
        <v>171424.5</v>
      </c>
      <c r="C4" s="54">
        <v>219671.21</v>
      </c>
      <c r="D4" s="54">
        <v>275181.71999999997</v>
      </c>
      <c r="E4" s="54">
        <v>339164.89</v>
      </c>
      <c r="F4" s="53" t="s">
        <v>52</v>
      </c>
      <c r="G4" s="53"/>
      <c r="H4" s="53"/>
      <c r="I4" s="53"/>
      <c r="J4" s="53"/>
    </row>
    <row r="5" spans="1:10" x14ac:dyDescent="0.2">
      <c r="A5" s="52" t="s">
        <v>45</v>
      </c>
      <c r="B5" s="54">
        <v>171424.5</v>
      </c>
      <c r="C5" s="54">
        <v>192867.48</v>
      </c>
      <c r="D5" s="54">
        <v>220743.35</v>
      </c>
      <c r="E5" s="54">
        <v>252939.99</v>
      </c>
      <c r="F5" s="53" t="s">
        <v>53</v>
      </c>
      <c r="G5" s="53"/>
      <c r="H5" s="53"/>
      <c r="I5" s="53"/>
      <c r="J5" s="53"/>
    </row>
    <row r="6" spans="1:10" x14ac:dyDescent="0.2">
      <c r="A6" s="52" t="s">
        <v>46</v>
      </c>
      <c r="B6" s="54">
        <f>167379.88</f>
        <v>167379.88</v>
      </c>
      <c r="C6" s="54">
        <f>203394.24</f>
        <v>203394.24</v>
      </c>
      <c r="D6" s="54">
        <v>250843.17</v>
      </c>
      <c r="E6" s="54">
        <f>305267.86</f>
        <v>305267.86</v>
      </c>
      <c r="F6" s="53" t="s">
        <v>50</v>
      </c>
      <c r="G6" s="53"/>
      <c r="H6" s="53"/>
      <c r="I6" s="53"/>
      <c r="J6" s="53"/>
    </row>
    <row r="7" spans="1:10" x14ac:dyDescent="0.2">
      <c r="A7" s="52" t="s">
        <v>47</v>
      </c>
      <c r="B7" s="54">
        <v>137624.5</v>
      </c>
      <c r="C7" s="54">
        <v>171129.16</v>
      </c>
      <c r="D7" s="54">
        <v>215271.54</v>
      </c>
      <c r="E7" s="54">
        <v>265903.57</v>
      </c>
      <c r="F7" s="53" t="s">
        <v>49</v>
      </c>
      <c r="G7" s="53"/>
      <c r="H7" s="53"/>
      <c r="I7" s="53"/>
      <c r="J7" s="53"/>
    </row>
  </sheetData>
  <mergeCells count="7">
    <mergeCell ref="F7:J7"/>
    <mergeCell ref="A1:E1"/>
    <mergeCell ref="F1:J2"/>
    <mergeCell ref="F3:J3"/>
    <mergeCell ref="F4:J4"/>
    <mergeCell ref="F5:J5"/>
    <mergeCell ref="F6:J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B34" sqref="B34"/>
    </sheetView>
    <sheetView workbookViewId="1">
      <selection activeCell="B24" sqref="B24"/>
    </sheetView>
  </sheetViews>
  <sheetFormatPr defaultRowHeight="12.75" x14ac:dyDescent="0.2"/>
  <cols>
    <col min="1" max="1" width="23.5703125" bestFit="1" customWidth="1"/>
    <col min="2" max="2" width="26" bestFit="1" customWidth="1"/>
    <col min="3" max="5" width="17.7109375" bestFit="1" customWidth="1"/>
    <col min="7" max="7" width="17.7109375" bestFit="1" customWidth="1"/>
  </cols>
  <sheetData>
    <row r="1" spans="1:7" x14ac:dyDescent="0.2">
      <c r="A1" s="29" t="s">
        <v>30</v>
      </c>
      <c r="B1" s="30"/>
      <c r="C1" s="30"/>
      <c r="D1" s="30"/>
      <c r="E1" s="30"/>
    </row>
    <row r="2" spans="1:7" x14ac:dyDescent="0.2">
      <c r="A2" s="30"/>
      <c r="B2" s="30"/>
      <c r="C2" s="30"/>
      <c r="D2" s="30"/>
      <c r="E2" s="30"/>
    </row>
    <row r="3" spans="1:7" ht="33.75" customHeight="1" x14ac:dyDescent="0.2">
      <c r="A3" s="30"/>
      <c r="B3" s="30"/>
      <c r="C3" s="30"/>
      <c r="D3" s="30"/>
      <c r="E3" s="30"/>
    </row>
    <row r="4" spans="1:7" x14ac:dyDescent="0.2">
      <c r="A4" s="31" t="s">
        <v>14</v>
      </c>
      <c r="B4" s="32">
        <f>2008</f>
        <v>2008</v>
      </c>
      <c r="C4" s="32">
        <f>2009</f>
        <v>2009</v>
      </c>
      <c r="D4" s="32">
        <f>2010</f>
        <v>2010</v>
      </c>
      <c r="E4" s="32">
        <f>2011</f>
        <v>2011</v>
      </c>
    </row>
    <row r="5" spans="1:7" x14ac:dyDescent="0.2">
      <c r="A5" s="34" t="s">
        <v>16</v>
      </c>
      <c r="B5" s="41">
        <f>Assumptions!$F4*B$13</f>
        <v>187500</v>
      </c>
      <c r="C5" s="36">
        <f>B5*IF(C$4=Assumptions!$I$3, Assumptions!$I$4, IF(C$4=Assumptions!$J$3, Assumptions!$J$4, Assumptions!$K$4))+B5</f>
        <v>199218.75</v>
      </c>
      <c r="D5" s="36">
        <f>C5*IF(D$4=Assumptions!$I$3, Assumptions!$I$4, IF(D$4=Assumptions!$J$3, Assumptions!$J$4, Assumptions!$K$4))+C5</f>
        <v>214658.203125</v>
      </c>
      <c r="E5" s="36">
        <f>D5*IF(E$4=Assumptions!$I$3, Assumptions!$I$4, IF(E$4=Assumptions!$J$3, Assumptions!$J$4, Assumptions!$K$4))+D5</f>
        <v>232367.5048828125</v>
      </c>
    </row>
    <row r="6" spans="1:7" x14ac:dyDescent="0.2">
      <c r="A6" s="34" t="s">
        <v>17</v>
      </c>
      <c r="B6" s="41">
        <f>Assumptions!$F5*B$13</f>
        <v>712500</v>
      </c>
      <c r="C6" s="36">
        <f>B6*IF(C$4=Assumptions!$I$3, Assumptions!$I$4, IF(C$4=Assumptions!$J$3, Assumptions!$J$4, Assumptions!$K$4))+B6</f>
        <v>757031.25</v>
      </c>
      <c r="D6" s="36">
        <f>C6*IF(D$4=Assumptions!$I$3, Assumptions!$I$4, IF(D$4=Assumptions!$J$3, Assumptions!$J$4, Assumptions!$K$4))+C6</f>
        <v>815701.171875</v>
      </c>
      <c r="E6" s="36">
        <f>D6*IF(E$4=Assumptions!$I$3, Assumptions!$I$4, IF(E$4=Assumptions!$J$3, Assumptions!$J$4, Assumptions!$K$4))+D6</f>
        <v>882996.5185546875</v>
      </c>
    </row>
    <row r="7" spans="1:7" x14ac:dyDescent="0.2">
      <c r="A7" s="34" t="s">
        <v>18</v>
      </c>
      <c r="B7" s="41">
        <f>Assumptions!$F6*B$13</f>
        <v>375000</v>
      </c>
      <c r="C7" s="36">
        <f>B7*IF(C$4=Assumptions!$I$3, Assumptions!$I$4, IF(C$4=Assumptions!$J$3, Assumptions!$J$4, Assumptions!$K$4))+B7</f>
        <v>398437.5</v>
      </c>
      <c r="D7" s="36">
        <f>C7*IF(D$4=Assumptions!$I$3, Assumptions!$I$4, IF(D$4=Assumptions!$J$3, Assumptions!$J$4, Assumptions!$K$4))+C7</f>
        <v>429316.40625</v>
      </c>
      <c r="E7" s="36">
        <f>D7*IF(E$4=Assumptions!$I$3, Assumptions!$I$4, IF(E$4=Assumptions!$J$3, Assumptions!$J$4, Assumptions!$K$4))+D7</f>
        <v>464735.009765625</v>
      </c>
    </row>
    <row r="8" spans="1:7" x14ac:dyDescent="0.2">
      <c r="A8" s="34" t="s">
        <v>19</v>
      </c>
      <c r="B8" s="41">
        <f>Assumptions!$F7*B$13</f>
        <v>825000</v>
      </c>
      <c r="C8" s="36">
        <f>B8*IF(C$4=Assumptions!$I$3, Assumptions!$I$4, IF(C$4=Assumptions!$J$3, Assumptions!$J$4, Assumptions!$K$4))+B8</f>
        <v>876562.5</v>
      </c>
      <c r="D8" s="36">
        <f>C8*IF(D$4=Assumptions!$I$3, Assumptions!$I$4, IF(D$4=Assumptions!$J$3, Assumptions!$J$4, Assumptions!$K$4))+C8</f>
        <v>944496.09375</v>
      </c>
      <c r="E8" s="36">
        <f>D8*IF(E$4=Assumptions!$I$3, Assumptions!$I$4, IF(E$4=Assumptions!$J$3, Assumptions!$J$4, Assumptions!$K$4))+D8</f>
        <v>1022417.021484375</v>
      </c>
      <c r="G8" s="45"/>
    </row>
    <row r="9" spans="1:7" x14ac:dyDescent="0.2">
      <c r="A9" s="34" t="s">
        <v>20</v>
      </c>
      <c r="B9" s="41">
        <f>Assumptions!$F8*B$13</f>
        <v>787500</v>
      </c>
      <c r="C9" s="36">
        <f>B9*IF(C$4=Assumptions!$I$3, Assumptions!$I$4, IF(C$4=Assumptions!$J$3, Assumptions!$J$4, Assumptions!$K$4))+B9</f>
        <v>836718.75</v>
      </c>
      <c r="D9" s="36">
        <f>C9*IF(D$4=Assumptions!$I$3, Assumptions!$I$4, IF(D$4=Assumptions!$J$3, Assumptions!$J$4, Assumptions!$K$4))+C9</f>
        <v>901564.453125</v>
      </c>
      <c r="E9" s="36">
        <f>D9*IF(E$4=Assumptions!$I$3, Assumptions!$I$4, IF(E$4=Assumptions!$J$3, Assumptions!$J$4, Assumptions!$K$4))+D9</f>
        <v>975943.5205078125</v>
      </c>
    </row>
    <row r="10" spans="1:7" x14ac:dyDescent="0.2">
      <c r="A10" s="34" t="s">
        <v>21</v>
      </c>
      <c r="B10" s="41">
        <f>Assumptions!$F9*B$13</f>
        <v>468750</v>
      </c>
      <c r="C10" s="36">
        <f>B10*IF(C$4=Assumptions!$I$3, Assumptions!$I$4, IF(C$4=Assumptions!$J$3, Assumptions!$J$4, Assumptions!$K$4))+B10</f>
        <v>498046.875</v>
      </c>
      <c r="D10" s="36">
        <f>C10*IF(D$4=Assumptions!$I$3, Assumptions!$I$4, IF(D$4=Assumptions!$J$3, Assumptions!$J$4, Assumptions!$K$4))+C10</f>
        <v>536645.5078125</v>
      </c>
      <c r="E10" s="36">
        <f>D10*IF(E$4=Assumptions!$I$3, Assumptions!$I$4, IF(E$4=Assumptions!$J$3, Assumptions!$J$4, Assumptions!$K$4))+D10</f>
        <v>580918.76220703125</v>
      </c>
    </row>
    <row r="11" spans="1:7" x14ac:dyDescent="0.2">
      <c r="A11" s="34" t="s">
        <v>22</v>
      </c>
      <c r="B11" s="41">
        <f>Assumptions!$F10*B$13</f>
        <v>337500</v>
      </c>
      <c r="C11" s="36">
        <f>B11*IF(C$4=Assumptions!$I$3, Assumptions!$I$4, IF(C$4=Assumptions!$J$3, Assumptions!$J$4, Assumptions!$K$4))+B11</f>
        <v>358593.75</v>
      </c>
      <c r="D11" s="36">
        <f>C11*IF(D$4=Assumptions!$I$3, Assumptions!$I$4, IF(D$4=Assumptions!$J$3, Assumptions!$J$4, Assumptions!$K$4))+C11</f>
        <v>386384.765625</v>
      </c>
      <c r="E11" s="36">
        <f>D11*IF(E$4=Assumptions!$I$3, Assumptions!$I$4, IF(E$4=Assumptions!$J$3, Assumptions!$J$4, Assumptions!$K$4))+D11</f>
        <v>418261.5087890625</v>
      </c>
    </row>
    <row r="12" spans="1:7" ht="13.5" thickBot="1" x14ac:dyDescent="0.25">
      <c r="A12" s="34" t="s">
        <v>23</v>
      </c>
      <c r="B12" s="41">
        <f>Assumptions!$F11*B$13</f>
        <v>56250</v>
      </c>
      <c r="C12" s="36">
        <f>B12*IF(C$4=Assumptions!$I$3, Assumptions!$I$4, IF(C$4=Assumptions!$J$3, Assumptions!$J$4, Assumptions!$K$4))+B12</f>
        <v>59765.625</v>
      </c>
      <c r="D12" s="36">
        <f>C12*IF(D$4=Assumptions!$I$3, Assumptions!$I$4, IF(D$4=Assumptions!$J$3, Assumptions!$J$4, Assumptions!$K$4))+C12</f>
        <v>64397.4609375</v>
      </c>
      <c r="E12" s="36">
        <f>D12*IF(E$4=Assumptions!$I$3, Assumptions!$I$4, IF(E$4=Assumptions!$J$3, Assumptions!$J$4, Assumptions!$K$4))+D12</f>
        <v>69710.25146484375</v>
      </c>
    </row>
    <row r="13" spans="1:7" ht="14.25" thickTop="1" thickBot="1" x14ac:dyDescent="0.25">
      <c r="A13" s="35" t="s">
        <v>24</v>
      </c>
      <c r="B13" s="43">
        <f>3750000</f>
        <v>3750000</v>
      </c>
      <c r="C13" s="43">
        <f>SUM(C5:C12)</f>
        <v>3984375</v>
      </c>
      <c r="D13" s="43">
        <f t="shared" ref="D13:E13" si="0">SUM(D5:D12)</f>
        <v>4293164.0625</v>
      </c>
      <c r="E13" s="43">
        <f t="shared" si="0"/>
        <v>4647350.09765625</v>
      </c>
    </row>
    <row r="14" spans="1:7" ht="13.5" thickTop="1" x14ac:dyDescent="0.2">
      <c r="A14" s="33" t="s">
        <v>31</v>
      </c>
      <c r="B14" s="49"/>
      <c r="C14" s="49"/>
      <c r="D14" s="49"/>
      <c r="E14" s="49"/>
    </row>
    <row r="15" spans="1:7" x14ac:dyDescent="0.2">
      <c r="A15" s="34" t="s">
        <v>16</v>
      </c>
      <c r="B15" s="36">
        <f>Assumptions!$G4*B5</f>
        <v>93750</v>
      </c>
      <c r="C15" s="36">
        <f>Assumptions!$G4*C5</f>
        <v>99609.375</v>
      </c>
      <c r="D15" s="36">
        <f>Assumptions!$G4*D5</f>
        <v>107329.1015625</v>
      </c>
      <c r="E15" s="36">
        <f>Assumptions!$G4*E5</f>
        <v>116183.75244140625</v>
      </c>
    </row>
    <row r="16" spans="1:7" x14ac:dyDescent="0.2">
      <c r="A16" s="34" t="s">
        <v>32</v>
      </c>
      <c r="B16" s="36">
        <f>Assumptions!$G5*B6</f>
        <v>356250</v>
      </c>
      <c r="C16" s="36">
        <f>Assumptions!$G5*C6</f>
        <v>378515.625</v>
      </c>
      <c r="D16" s="36">
        <f>Assumptions!$G5*D6</f>
        <v>407850.5859375</v>
      </c>
      <c r="E16" s="36">
        <f>Assumptions!$G5*E6</f>
        <v>441498.25927734375</v>
      </c>
    </row>
    <row r="17" spans="1:5" x14ac:dyDescent="0.2">
      <c r="A17" s="34" t="s">
        <v>18</v>
      </c>
      <c r="B17" s="36">
        <f>Assumptions!$G6*B7</f>
        <v>281250</v>
      </c>
      <c r="C17" s="36">
        <f>Assumptions!$G6*C7</f>
        <v>298828.125</v>
      </c>
      <c r="D17" s="36">
        <f>Assumptions!$G6*D7</f>
        <v>321987.3046875</v>
      </c>
      <c r="E17" s="36">
        <f>Assumptions!$G6*E7</f>
        <v>348551.25732421875</v>
      </c>
    </row>
    <row r="18" spans="1:5" x14ac:dyDescent="0.2">
      <c r="A18" s="34" t="s">
        <v>19</v>
      </c>
      <c r="B18" s="36">
        <f>Assumptions!$G7*B8</f>
        <v>536250</v>
      </c>
      <c r="C18" s="36">
        <f>Assumptions!$G7*C8</f>
        <v>569765.625</v>
      </c>
      <c r="D18" s="36">
        <f>Assumptions!$G7*D8</f>
        <v>613922.4609375</v>
      </c>
      <c r="E18" s="36">
        <f>Assumptions!$G7*E8</f>
        <v>664571.06396484375</v>
      </c>
    </row>
    <row r="19" spans="1:5" x14ac:dyDescent="0.2">
      <c r="A19" s="34" t="s">
        <v>20</v>
      </c>
      <c r="B19" s="36">
        <f>Assumptions!$G8*B9</f>
        <v>393750</v>
      </c>
      <c r="C19" s="36">
        <f>Assumptions!$G8*C9</f>
        <v>418359.375</v>
      </c>
      <c r="D19" s="36">
        <f>Assumptions!$G8*D9</f>
        <v>450782.2265625</v>
      </c>
      <c r="E19" s="36">
        <f>Assumptions!$G8*E9</f>
        <v>487971.76025390625</v>
      </c>
    </row>
    <row r="20" spans="1:5" x14ac:dyDescent="0.2">
      <c r="A20" s="34" t="s">
        <v>21</v>
      </c>
      <c r="B20" s="36">
        <f>Assumptions!$G9*B10</f>
        <v>304687.5</v>
      </c>
      <c r="C20" s="36">
        <f>Assumptions!$G9*C10</f>
        <v>323730.46875</v>
      </c>
      <c r="D20" s="36">
        <f>Assumptions!$G9*D10</f>
        <v>348819.580078125</v>
      </c>
      <c r="E20" s="36">
        <f>Assumptions!$G9*E10</f>
        <v>377597.19543457031</v>
      </c>
    </row>
    <row r="21" spans="1:5" x14ac:dyDescent="0.2">
      <c r="A21" s="34" t="s">
        <v>22</v>
      </c>
      <c r="B21" s="36">
        <f>Assumptions!$G10*B11</f>
        <v>222750</v>
      </c>
      <c r="C21" s="36">
        <f>Assumptions!$G10*C11</f>
        <v>236671.875</v>
      </c>
      <c r="D21" s="36">
        <f>Assumptions!$G10*D11</f>
        <v>255013.9453125</v>
      </c>
      <c r="E21" s="36">
        <f>Assumptions!$G10*E11</f>
        <v>276052.59580078127</v>
      </c>
    </row>
    <row r="22" spans="1:5" ht="13.5" thickBot="1" x14ac:dyDescent="0.25">
      <c r="A22" s="34" t="s">
        <v>23</v>
      </c>
      <c r="B22" s="36">
        <f>Assumptions!$G11*B12</f>
        <v>16875</v>
      </c>
      <c r="C22" s="36">
        <f>Assumptions!$G11*C12</f>
        <v>17929.6875</v>
      </c>
      <c r="D22" s="36">
        <f>Assumptions!$G11*D12</f>
        <v>19319.23828125</v>
      </c>
      <c r="E22" s="36">
        <f>Assumptions!$G11*E12</f>
        <v>20913.075439453125</v>
      </c>
    </row>
    <row r="23" spans="1:5" ht="14.25" thickTop="1" thickBot="1" x14ac:dyDescent="0.25">
      <c r="A23" s="35" t="s">
        <v>33</v>
      </c>
      <c r="B23" s="43">
        <f>SUM(B15:B22)</f>
        <v>2205562.5</v>
      </c>
      <c r="C23" s="43">
        <f t="shared" ref="C23:E23" si="1">SUM(C15:C22)</f>
        <v>2343410.15625</v>
      </c>
      <c r="D23" s="43">
        <f t="shared" si="1"/>
        <v>2525024.443359375</v>
      </c>
      <c r="E23" s="43">
        <f t="shared" si="1"/>
        <v>2733338.9599365233</v>
      </c>
    </row>
    <row r="24" spans="1:5" ht="14.25" thickTop="1" thickBot="1" x14ac:dyDescent="0.25">
      <c r="A24" s="35" t="s">
        <v>34</v>
      </c>
      <c r="B24" s="43">
        <f>B13-B23</f>
        <v>1544437.5</v>
      </c>
      <c r="C24" s="43">
        <f t="shared" ref="C24:E24" si="2">C13-C23</f>
        <v>1640964.84375</v>
      </c>
      <c r="D24" s="43">
        <f t="shared" si="2"/>
        <v>1768139.619140625</v>
      </c>
      <c r="E24" s="43">
        <f t="shared" si="2"/>
        <v>1914011.1377197267</v>
      </c>
    </row>
    <row r="25" spans="1:5" ht="13.5" thickTop="1" x14ac:dyDescent="0.2">
      <c r="A25" s="33" t="s">
        <v>35</v>
      </c>
      <c r="B25" s="49"/>
      <c r="C25" s="49"/>
      <c r="D25" s="49"/>
      <c r="E25" s="49"/>
    </row>
    <row r="26" spans="1:5" x14ac:dyDescent="0.2">
      <c r="A26" s="34" t="s">
        <v>2</v>
      </c>
      <c r="B26" s="36">
        <f>Assumptions!$B4*B$13</f>
        <v>206250</v>
      </c>
      <c r="C26" s="36">
        <f>Assumptions!$B4*C$13</f>
        <v>219140.625</v>
      </c>
      <c r="D26" s="36">
        <f>Assumptions!$B4*D$13</f>
        <v>236124.0234375</v>
      </c>
      <c r="E26" s="36">
        <f>Assumptions!$B4*E$13</f>
        <v>255604.25537109375</v>
      </c>
    </row>
    <row r="27" spans="1:5" x14ac:dyDescent="0.2">
      <c r="A27" s="34" t="s">
        <v>36</v>
      </c>
      <c r="B27" s="36">
        <f>Assumptions!$B5*B$13</f>
        <v>328125</v>
      </c>
      <c r="C27" s="36">
        <f>Assumptions!$B5*C$13</f>
        <v>348632.8125</v>
      </c>
      <c r="D27" s="36">
        <f>Assumptions!$B5*D$13</f>
        <v>375651.85546875</v>
      </c>
      <c r="E27" s="36">
        <f>Assumptions!$B5*E$13</f>
        <v>406643.13354492188</v>
      </c>
    </row>
    <row r="28" spans="1:5" x14ac:dyDescent="0.2">
      <c r="A28" s="34" t="s">
        <v>4</v>
      </c>
      <c r="B28" s="36">
        <f>Assumptions!$B$6</f>
        <v>20000</v>
      </c>
      <c r="C28" s="36">
        <f>Assumptions!$B$6</f>
        <v>20000</v>
      </c>
      <c r="D28" s="36">
        <f>Assumptions!$B$6</f>
        <v>20000</v>
      </c>
      <c r="E28" s="36">
        <f>Assumptions!$B$6</f>
        <v>20000</v>
      </c>
    </row>
    <row r="29" spans="1:5" x14ac:dyDescent="0.2">
      <c r="A29" s="34" t="s">
        <v>37</v>
      </c>
      <c r="B29" s="36">
        <f>Assumptions!$B7+Assumptions!$B8+Assumptions!$B10*Assumptions!$B9*Assumptions!$B11*Assumptions!$B12</f>
        <v>541000</v>
      </c>
      <c r="C29" s="36">
        <f>Assumptions!$B7+Assumptions!$B8+Assumptions!$B10*Assumptions!$B9*Assumptions!$B11*Assumptions!$B12</f>
        <v>541000</v>
      </c>
      <c r="D29" s="36">
        <f>Assumptions!$B7+Assumptions!$B8+Assumptions!$B10*Assumptions!$B9*Assumptions!$B11*Assumptions!$B12</f>
        <v>541000</v>
      </c>
      <c r="E29" s="36">
        <f>Assumptions!$B7+Assumptions!$B8+Assumptions!$B10*Assumptions!$B9*Assumptions!$B11*Assumptions!$B12</f>
        <v>541000</v>
      </c>
    </row>
    <row r="30" spans="1:5" ht="13.5" thickBot="1" x14ac:dyDescent="0.25">
      <c r="A30" s="34" t="s">
        <v>10</v>
      </c>
      <c r="B30" s="36">
        <f>IF(B24&gt;0,B24*Assumptions!$B13,0)</f>
        <v>185332.5</v>
      </c>
      <c r="C30" s="36">
        <f>IF(C24&gt;0,C24*Assumptions!$B13,0)</f>
        <v>196915.78125</v>
      </c>
      <c r="D30" s="36">
        <f>IF(D24&gt;0,D24*Assumptions!$B13,0)</f>
        <v>212176.75429687501</v>
      </c>
      <c r="E30" s="36">
        <f>IF(E24&gt;0,E24*Assumptions!$B13,0)</f>
        <v>229681.3365263672</v>
      </c>
    </row>
    <row r="31" spans="1:5" ht="14.25" thickTop="1" thickBot="1" x14ac:dyDescent="0.25">
      <c r="A31" s="35" t="s">
        <v>41</v>
      </c>
      <c r="B31" s="43">
        <f>SUM(B26:B30)</f>
        <v>1280707.5</v>
      </c>
      <c r="C31" s="43">
        <f t="shared" ref="C31:E31" si="3">SUM(C26:C30)</f>
        <v>1325689.21875</v>
      </c>
      <c r="D31" s="43">
        <f t="shared" si="3"/>
        <v>1384952.6332031251</v>
      </c>
      <c r="E31" s="43">
        <f t="shared" si="3"/>
        <v>1452928.7254423827</v>
      </c>
    </row>
    <row r="32" spans="1:5" ht="13.5" thickTop="1" x14ac:dyDescent="0.2">
      <c r="A32" s="34" t="s">
        <v>38</v>
      </c>
      <c r="B32" s="36">
        <f>B24-B31</f>
        <v>263730</v>
      </c>
      <c r="C32" s="36">
        <f t="shared" ref="C32:E32" si="4">C24-C31</f>
        <v>315275.625</v>
      </c>
      <c r="D32" s="36">
        <f t="shared" si="4"/>
        <v>383186.98593749991</v>
      </c>
      <c r="E32" s="36">
        <f t="shared" si="4"/>
        <v>461082.41227734392</v>
      </c>
    </row>
    <row r="33" spans="1:5" ht="13.5" thickBot="1" x14ac:dyDescent="0.25">
      <c r="A33" s="34" t="s">
        <v>39</v>
      </c>
      <c r="B33" s="36">
        <f>Assumptions!$B14*B32</f>
        <v>92305.5</v>
      </c>
      <c r="C33" s="36">
        <f>Assumptions!$B14*C32</f>
        <v>110346.46875</v>
      </c>
      <c r="D33" s="36">
        <f>Assumptions!$B14*D32</f>
        <v>134115.44507812496</v>
      </c>
      <c r="E33" s="36">
        <f>Assumptions!$B14*E32</f>
        <v>161378.84429707035</v>
      </c>
    </row>
    <row r="34" spans="1:5" ht="14.25" thickTop="1" thickBot="1" x14ac:dyDescent="0.25">
      <c r="A34" s="35" t="s">
        <v>40</v>
      </c>
      <c r="B34" s="43">
        <f>B32-B33</f>
        <v>171424.5</v>
      </c>
      <c r="C34" s="43">
        <f t="shared" ref="C34:E34" si="5">C32-C33</f>
        <v>204929.15625</v>
      </c>
      <c r="D34" s="43">
        <f t="shared" si="5"/>
        <v>249071.54085937495</v>
      </c>
      <c r="E34" s="43">
        <f t="shared" si="5"/>
        <v>299703.56798027357</v>
      </c>
    </row>
    <row r="35" spans="1:5" ht="13.5" thickTop="1" x14ac:dyDescent="0.2"/>
  </sheetData>
  <mergeCells count="1">
    <mergeCell ref="A1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roject>
  <id>srRJErp4b+h5eRUDFAf5tRaaqBfiKj/CRDftdkORjE0=-~5bx9YcRyBNxUq7RfYtM0pg==</id>
</project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9FEDBC23-334B-4944-9189-EB1245230E37}">
  <ds:schemaRefs/>
</ds:datastoreItem>
</file>

<file path=customXml/itemProps2.xml><?xml version="1.0" encoding="utf-8"?>
<ds:datastoreItem xmlns:ds="http://schemas.openxmlformats.org/officeDocument/2006/customXml" ds:itemID="{CEAEEE3B-C72C-404E-8AF4-E9120CF5C7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What if Analysis</vt:lpstr>
      <vt:lpstr>Pro Forma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2013-09-14T17:45:45Z</dcterms:created>
  <dcterms:modified xsi:type="dcterms:W3CDTF">2017-09-19T03:41:00Z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TC018773599991</vt:lpwstr>
  </property>
</Properties>
</file>