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esktop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N42" i="1"/>
  <c r="O42" i="1" s="1"/>
  <c r="J42" i="1"/>
  <c r="I42" i="1"/>
  <c r="H42" i="1"/>
  <c r="G42" i="1"/>
  <c r="B42" i="1"/>
  <c r="D42" i="1" s="1"/>
  <c r="Q41" i="1"/>
  <c r="N41" i="1"/>
  <c r="O41" i="1" s="1"/>
  <c r="J41" i="1"/>
  <c r="I41" i="1"/>
  <c r="H41" i="1"/>
  <c r="G41" i="1"/>
  <c r="B41" i="1"/>
  <c r="D41" i="1" s="1"/>
  <c r="Q40" i="1"/>
  <c r="N40" i="1"/>
  <c r="O40" i="1" s="1"/>
  <c r="J40" i="1"/>
  <c r="I40" i="1"/>
  <c r="H40" i="1"/>
  <c r="G40" i="1"/>
  <c r="B40" i="1"/>
  <c r="D40" i="1" s="1"/>
  <c r="Q39" i="1"/>
  <c r="O39" i="1"/>
  <c r="N39" i="1"/>
  <c r="J39" i="1"/>
  <c r="I39" i="1"/>
  <c r="H39" i="1"/>
  <c r="P39" i="1" s="1"/>
  <c r="G39" i="1"/>
  <c r="B39" i="1"/>
  <c r="D39" i="1" s="1"/>
  <c r="Q38" i="1"/>
  <c r="O38" i="1"/>
  <c r="N38" i="1"/>
  <c r="J38" i="1"/>
  <c r="I38" i="1"/>
  <c r="H38" i="1"/>
  <c r="P38" i="1" s="1"/>
  <c r="G38" i="1"/>
  <c r="B38" i="1"/>
  <c r="D38" i="1" s="1"/>
  <c r="Q37" i="1"/>
  <c r="N37" i="1"/>
  <c r="O37" i="1" s="1"/>
  <c r="J37" i="1"/>
  <c r="I37" i="1"/>
  <c r="H37" i="1"/>
  <c r="P37" i="1" s="1"/>
  <c r="G37" i="1"/>
  <c r="B37" i="1"/>
  <c r="D37" i="1" s="1"/>
  <c r="Q36" i="1"/>
  <c r="N36" i="1"/>
  <c r="O36" i="1" s="1"/>
  <c r="J36" i="1"/>
  <c r="I36" i="1"/>
  <c r="H36" i="1"/>
  <c r="P36" i="1" s="1"/>
  <c r="G36" i="1"/>
  <c r="B36" i="1"/>
  <c r="D36" i="1" s="1"/>
  <c r="Q35" i="1"/>
  <c r="N35" i="1"/>
  <c r="O35" i="1" s="1"/>
  <c r="J35" i="1"/>
  <c r="I35" i="1"/>
  <c r="H35" i="1"/>
  <c r="P35" i="1" s="1"/>
  <c r="G35" i="1"/>
  <c r="B35" i="1"/>
  <c r="D35" i="1" s="1"/>
  <c r="Q34" i="1"/>
  <c r="N34" i="1"/>
  <c r="O34" i="1" s="1"/>
  <c r="J34" i="1"/>
  <c r="I34" i="1"/>
  <c r="H34" i="1"/>
  <c r="P34" i="1" s="1"/>
  <c r="G34" i="1"/>
  <c r="B34" i="1"/>
  <c r="D34" i="1" s="1"/>
  <c r="Q33" i="1"/>
  <c r="N33" i="1"/>
  <c r="O33" i="1" s="1"/>
  <c r="J33" i="1"/>
  <c r="I33" i="1"/>
  <c r="H33" i="1"/>
  <c r="P33" i="1" s="1"/>
  <c r="G33" i="1"/>
  <c r="B33" i="1"/>
  <c r="D33" i="1" s="1"/>
  <c r="Q32" i="1"/>
  <c r="N32" i="1"/>
  <c r="O32" i="1" s="1"/>
  <c r="J32" i="1"/>
  <c r="I32" i="1"/>
  <c r="H32" i="1"/>
  <c r="P32" i="1" s="1"/>
  <c r="G32" i="1"/>
  <c r="B32" i="1"/>
  <c r="D32" i="1" s="1"/>
  <c r="Q31" i="1"/>
  <c r="P31" i="1"/>
  <c r="N31" i="1"/>
  <c r="O31" i="1" s="1"/>
  <c r="J31" i="1"/>
  <c r="I31" i="1"/>
  <c r="H31" i="1"/>
  <c r="G31" i="1"/>
  <c r="B31" i="1"/>
  <c r="D31" i="1" s="1"/>
  <c r="Q30" i="1"/>
  <c r="N30" i="1"/>
  <c r="O30" i="1" s="1"/>
  <c r="J30" i="1"/>
  <c r="I30" i="1"/>
  <c r="H30" i="1"/>
  <c r="P30" i="1" s="1"/>
  <c r="G30" i="1"/>
  <c r="B30" i="1"/>
  <c r="D30" i="1" s="1"/>
  <c r="Q29" i="1"/>
  <c r="N29" i="1"/>
  <c r="O29" i="1" s="1"/>
  <c r="J29" i="1"/>
  <c r="I29" i="1"/>
  <c r="H29" i="1"/>
  <c r="P29" i="1" s="1"/>
  <c r="G29" i="1"/>
  <c r="B29" i="1"/>
  <c r="D29" i="1" s="1"/>
  <c r="Q28" i="1"/>
  <c r="N28" i="1"/>
  <c r="O28" i="1" s="1"/>
  <c r="J28" i="1"/>
  <c r="I28" i="1"/>
  <c r="H28" i="1"/>
  <c r="P28" i="1" s="1"/>
  <c r="G28" i="1"/>
  <c r="B28" i="1"/>
  <c r="D28" i="1" s="1"/>
  <c r="Q27" i="1"/>
  <c r="N27" i="1"/>
  <c r="O27" i="1" s="1"/>
  <c r="J27" i="1"/>
  <c r="I27" i="1"/>
  <c r="H27" i="1"/>
  <c r="P27" i="1" s="1"/>
  <c r="G27" i="1"/>
  <c r="B27" i="1"/>
  <c r="D27" i="1" s="1"/>
  <c r="Q26" i="1"/>
  <c r="N26" i="1"/>
  <c r="O26" i="1" s="1"/>
  <c r="J26" i="1"/>
  <c r="I26" i="1"/>
  <c r="H26" i="1"/>
  <c r="P26" i="1" s="1"/>
  <c r="G26" i="1"/>
  <c r="D26" i="1"/>
  <c r="B26" i="1"/>
  <c r="Q25" i="1"/>
  <c r="N25" i="1"/>
  <c r="O25" i="1" s="1"/>
  <c r="J25" i="1"/>
  <c r="I25" i="1"/>
  <c r="H25" i="1"/>
  <c r="P25" i="1" s="1"/>
  <c r="G25" i="1"/>
  <c r="D25" i="1"/>
  <c r="B25" i="1"/>
  <c r="Q24" i="1"/>
  <c r="N24" i="1"/>
  <c r="O24" i="1" s="1"/>
  <c r="J24" i="1"/>
  <c r="I24" i="1"/>
  <c r="H24" i="1"/>
  <c r="P24" i="1" s="1"/>
  <c r="G24" i="1"/>
  <c r="B24" i="1"/>
  <c r="D24" i="1" s="1"/>
  <c r="Q23" i="1"/>
  <c r="N23" i="1"/>
  <c r="O23" i="1" s="1"/>
  <c r="J23" i="1"/>
  <c r="I23" i="1"/>
  <c r="H23" i="1"/>
  <c r="P23" i="1" s="1"/>
  <c r="G23" i="1"/>
  <c r="B23" i="1"/>
  <c r="D23" i="1" s="1"/>
  <c r="Q22" i="1"/>
  <c r="N22" i="1"/>
  <c r="O22" i="1" s="1"/>
  <c r="J22" i="1"/>
  <c r="I22" i="1"/>
  <c r="H22" i="1"/>
  <c r="P22" i="1" s="1"/>
  <c r="G22" i="1"/>
  <c r="B22" i="1"/>
  <c r="D22" i="1" s="1"/>
  <c r="Q21" i="1"/>
  <c r="N21" i="1"/>
  <c r="O21" i="1" s="1"/>
  <c r="J21" i="1"/>
  <c r="I21" i="1"/>
  <c r="H21" i="1"/>
  <c r="P21" i="1" s="1"/>
  <c r="G21" i="1"/>
  <c r="B21" i="1"/>
  <c r="D21" i="1" s="1"/>
  <c r="Q20" i="1"/>
  <c r="N20" i="1"/>
  <c r="O20" i="1" s="1"/>
  <c r="J20" i="1"/>
  <c r="I20" i="1"/>
  <c r="H20" i="1"/>
  <c r="P20" i="1" s="1"/>
  <c r="G20" i="1"/>
  <c r="B20" i="1"/>
  <c r="D20" i="1" s="1"/>
  <c r="Q19" i="1"/>
  <c r="O19" i="1"/>
  <c r="N19" i="1"/>
  <c r="J19" i="1"/>
  <c r="I19" i="1"/>
  <c r="H19" i="1"/>
  <c r="P19" i="1" s="1"/>
  <c r="G19" i="1"/>
  <c r="B19" i="1"/>
  <c r="D19" i="1" s="1"/>
  <c r="Q18" i="1"/>
  <c r="O18" i="1"/>
  <c r="N18" i="1"/>
  <c r="J18" i="1"/>
  <c r="I18" i="1"/>
  <c r="H18" i="1"/>
  <c r="P18" i="1" s="1"/>
  <c r="G18" i="1"/>
  <c r="B18" i="1"/>
  <c r="D18" i="1" s="1"/>
  <c r="Q17" i="1"/>
  <c r="N17" i="1"/>
  <c r="O17" i="1" s="1"/>
  <c r="J17" i="1"/>
  <c r="I17" i="1"/>
  <c r="H17" i="1"/>
  <c r="P17" i="1" s="1"/>
  <c r="G17" i="1"/>
  <c r="B17" i="1"/>
  <c r="D17" i="1" s="1"/>
  <c r="Q16" i="1"/>
  <c r="N16" i="1"/>
  <c r="O16" i="1" s="1"/>
  <c r="J16" i="1"/>
  <c r="I16" i="1"/>
  <c r="H16" i="1"/>
  <c r="P16" i="1" s="1"/>
  <c r="G16" i="1"/>
  <c r="B16" i="1"/>
  <c r="D16" i="1" s="1"/>
  <c r="Q15" i="1"/>
  <c r="N15" i="1"/>
  <c r="O15" i="1" s="1"/>
  <c r="J15" i="1"/>
  <c r="I15" i="1"/>
  <c r="H15" i="1"/>
  <c r="P15" i="1" s="1"/>
  <c r="G15" i="1"/>
  <c r="B15" i="1"/>
  <c r="D15" i="1" s="1"/>
  <c r="Q14" i="1"/>
  <c r="N14" i="1"/>
  <c r="O14" i="1" s="1"/>
  <c r="J14" i="1"/>
  <c r="I14" i="1"/>
  <c r="H14" i="1"/>
  <c r="P14" i="1" s="1"/>
  <c r="G14" i="1"/>
  <c r="B14" i="1"/>
  <c r="D14" i="1" s="1"/>
  <c r="Q13" i="1"/>
  <c r="N13" i="1"/>
  <c r="O13" i="1" s="1"/>
  <c r="J13" i="1"/>
  <c r="I13" i="1"/>
  <c r="H13" i="1"/>
  <c r="P13" i="1" s="1"/>
  <c r="G13" i="1"/>
  <c r="B13" i="1"/>
  <c r="D13" i="1" s="1"/>
  <c r="Q12" i="1"/>
  <c r="N12" i="1"/>
  <c r="O12" i="1" s="1"/>
  <c r="J12" i="1"/>
  <c r="I12" i="1"/>
  <c r="H12" i="1"/>
  <c r="P12" i="1" s="1"/>
  <c r="G12" i="1"/>
  <c r="B12" i="1"/>
  <c r="D12" i="1" s="1"/>
  <c r="Q11" i="1"/>
  <c r="N11" i="1"/>
  <c r="O11" i="1" s="1"/>
  <c r="J11" i="1"/>
  <c r="I11" i="1"/>
  <c r="H11" i="1"/>
  <c r="P11" i="1" s="1"/>
  <c r="G11" i="1"/>
  <c r="B11" i="1"/>
  <c r="D11" i="1" s="1"/>
  <c r="Q10" i="1"/>
  <c r="N10" i="1"/>
  <c r="K10" i="1"/>
  <c r="J10" i="1"/>
  <c r="I10" i="1"/>
  <c r="H10" i="1"/>
  <c r="P10" i="1" s="1"/>
  <c r="G10" i="1"/>
  <c r="B10" i="1"/>
  <c r="D10" i="1" s="1"/>
  <c r="Q9" i="1"/>
  <c r="N9" i="1"/>
  <c r="O9" i="1" s="1"/>
  <c r="J9" i="1"/>
  <c r="I9" i="1"/>
  <c r="H9" i="1"/>
  <c r="G9" i="1"/>
  <c r="B9" i="1"/>
  <c r="D9" i="1" s="1"/>
  <c r="Q8" i="1"/>
  <c r="N8" i="1"/>
  <c r="O8" i="1" s="1"/>
  <c r="J8" i="1"/>
  <c r="I8" i="1"/>
  <c r="H8" i="1"/>
  <c r="G8" i="1"/>
  <c r="B8" i="1"/>
  <c r="D8" i="1" s="1"/>
  <c r="Q7" i="1"/>
  <c r="N7" i="1"/>
  <c r="O7" i="1" s="1"/>
  <c r="J7" i="1"/>
  <c r="I7" i="1"/>
  <c r="H7" i="1"/>
  <c r="G7" i="1"/>
  <c r="B7" i="1"/>
  <c r="D7" i="1" s="1"/>
  <c r="P9" i="1" l="1"/>
  <c r="P7" i="1"/>
  <c r="P8" i="1"/>
  <c r="O10" i="1"/>
  <c r="P40" i="1"/>
  <c r="P41" i="1"/>
  <c r="P42" i="1"/>
</calcChain>
</file>

<file path=xl/sharedStrings.xml><?xml version="1.0" encoding="utf-8"?>
<sst xmlns="http://schemas.openxmlformats.org/spreadsheetml/2006/main" count="325" uniqueCount="134">
  <si>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</si>
  <si>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</si>
  <si>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</si>
  <si>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</si>
  <si>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</si>
  <si>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</si>
  <si>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</si>
  <si>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</si>
  <si>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</si>
  <si>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</si>
  <si>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</si>
  <si>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</si>
  <si>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</si>
  <si>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</si>
  <si>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</si>
  <si>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</si>
  <si>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</si>
  <si>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</si>
  <si>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</si>
  <si>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</si>
  <si>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</si>
  <si>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Mini-Circuits</t>
  </si>
  <si>
    <t>Chiếc</t>
  </si>
  <si>
    <t>No Cross</t>
  </si>
  <si>
    <t>TAPE &amp; REEL</t>
  </si>
  <si>
    <t>N</t>
  </si>
  <si>
    <t>CAPACITOR</t>
  </si>
  <si>
    <t>Murata Electronics North America</t>
  </si>
  <si>
    <t>Cross</t>
  </si>
  <si>
    <t>Y</t>
  </si>
  <si>
    <t>AVX</t>
  </si>
  <si>
    <t>TAJA225K035RNJ</t>
  </si>
  <si>
    <t>C300</t>
  </si>
  <si>
    <t>TAJA475K016UNJ</t>
  </si>
  <si>
    <t>C301</t>
  </si>
  <si>
    <t>04025A200JAT2A</t>
  </si>
  <si>
    <t>C306, C307</t>
  </si>
  <si>
    <t>FILTER</t>
  </si>
  <si>
    <t>HFCN-2275+</t>
  </si>
  <si>
    <t>F100, F217, F218, F418, F419</t>
  </si>
  <si>
    <t>SXLP-90+</t>
  </si>
  <si>
    <t>F200, F401</t>
  </si>
  <si>
    <t>LFCN-225D+</t>
  </si>
  <si>
    <t>F201, F402</t>
  </si>
  <si>
    <t>LFCN-1400D+</t>
  </si>
  <si>
    <t>F202, F208, F403, F409</t>
  </si>
  <si>
    <t>RHP-147+</t>
  </si>
  <si>
    <t>F203, F404</t>
  </si>
  <si>
    <t>LFCN-490+</t>
  </si>
  <si>
    <t>F204, F405</t>
  </si>
  <si>
    <t>HFCN-440+</t>
  </si>
  <si>
    <t>F205, F406</t>
  </si>
  <si>
    <t>LFCN-1000+</t>
  </si>
  <si>
    <t>F206, F407</t>
  </si>
  <si>
    <t>RHP-755+</t>
  </si>
  <si>
    <t>F207, F408</t>
  </si>
  <si>
    <t>LFCN-3000+</t>
  </si>
  <si>
    <t>F209, F215, F412, F416</t>
  </si>
  <si>
    <t>HFCN-1300D+</t>
  </si>
  <si>
    <t>F210, F410</t>
  </si>
  <si>
    <t>LFCN-1800+</t>
  </si>
  <si>
    <t>F211, F411</t>
  </si>
  <si>
    <t>HFCN-1500+</t>
  </si>
  <si>
    <t>F212, F413</t>
  </si>
  <si>
    <t>LFCN-2400+</t>
  </si>
  <si>
    <t>F213, F414</t>
  </si>
  <si>
    <t>HFCN-2000+</t>
  </si>
  <si>
    <t>F214, F415</t>
  </si>
  <si>
    <t>HFCN-880+</t>
  </si>
  <si>
    <t>F216</t>
  </si>
  <si>
    <t>LFCN-6000+</t>
  </si>
  <si>
    <t>F101, F400</t>
  </si>
  <si>
    <t>FERRITE BEAD</t>
  </si>
  <si>
    <t>BLM18PG331SN1D</t>
  </si>
  <si>
    <t>FB1, FB2, FB3, FB4, FB5, FB6, FB7, FB8, FB9, FB10, FB11, FB13</t>
  </si>
  <si>
    <t>NFM21PC105B1C3D</t>
  </si>
  <si>
    <t>FB12, FB14, FB15, FB16, FB17, FB18, FB19</t>
  </si>
  <si>
    <t>INDUCTOR</t>
  </si>
  <si>
    <t>LQW2UASR56J00L</t>
  </si>
  <si>
    <t>L202, L402</t>
  </si>
  <si>
    <t>LQW2UASR22J00L</t>
  </si>
  <si>
    <t>L203, L405</t>
  </si>
  <si>
    <t>Coilcraft</t>
  </si>
  <si>
    <t>0603HP-47NXGLU</t>
  </si>
  <si>
    <t>L204, L403, L406</t>
  </si>
  <si>
    <t>Wurth Electronics Inc</t>
  </si>
  <si>
    <t>744786147A</t>
  </si>
  <si>
    <t>L205, L404, L407</t>
  </si>
  <si>
    <t>0402HL-601XJRU</t>
  </si>
  <si>
    <t>L300, L301</t>
  </si>
  <si>
    <t>CONNECTOR</t>
  </si>
  <si>
    <t>Amphenol RF Division</t>
  </si>
  <si>
    <t>132134</t>
  </si>
  <si>
    <t>P100, P101, P102, P103</t>
  </si>
  <si>
    <t>CT</t>
  </si>
  <si>
    <t>Sullins Connector Solutions</t>
  </si>
  <si>
    <t>NPTC032KFMS-RC</t>
  </si>
  <si>
    <t>P200, P201, P400, P401</t>
  </si>
  <si>
    <t>Cinch Connectivity Solutions Johnson</t>
  </si>
  <si>
    <t>133-3711-202</t>
  </si>
  <si>
    <t>P202, P203, P402, P403</t>
  </si>
  <si>
    <t>901-143</t>
  </si>
  <si>
    <t>P404</t>
  </si>
  <si>
    <t>GBC10SFBN-M30</t>
  </si>
  <si>
    <t>P500</t>
  </si>
  <si>
    <t>MOSFET</t>
  </si>
  <si>
    <t>Vishay Siliconix</t>
  </si>
  <si>
    <t>2N7002K-T1-E3</t>
  </si>
  <si>
    <t>Q1, Q2, Q3, Q4, Q5, Q6, Q7, Q8, Q9, Q10</t>
  </si>
  <si>
    <t>RESISTOR</t>
  </si>
  <si>
    <t>Vishay Dale</t>
  </si>
  <si>
    <t>CRCW04020000Z0ED</t>
  </si>
  <si>
    <t>R1, R3, R9, R16, R18, R24, R26, R28, R32, R33, R38, R39, R102, R103, R104, R107, R201, R202, R204, R205, R206, R207, R301, R401, R415, R418, R419, R423, R424, R425, R426, R443, R444, R445, R446, R447, R500, R501, R502, R504, R505, R506, R507, R510, R511</t>
  </si>
  <si>
    <t>Panasonic Electronic Components</t>
  </si>
  <si>
    <t>ERJ-2RKF1002X</t>
  </si>
  <si>
    <t>R2, R5, R11, R13, R23, R27, R29, R34, R35, R40, R41, R44, R508</t>
  </si>
  <si>
    <t>ERJ-3EKF4702V</t>
  </si>
  <si>
    <t>R4, R10, R22, R25, R30, R31, R36, R37, R42, R43, R108, R109</t>
  </si>
  <si>
    <t>Bỏ, Đổi sang mã khác, sai footprint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</si>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</sst>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sz val="14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horizontal="center" vertical="center" wrapText="1"/>
    </xf>
    <xf numFmtId="0" fontId="7" fillId="0" borderId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 shrinkToFit="1"/>
    </xf>
    <xf numFmtId="2" fontId="4" fillId="0" borderId="0" xfId="2" applyNumberFormat="1" applyFont="1" applyFill="1" applyBorder="1" applyAlignment="1">
      <alignment horizontal="center" vertical="center" wrapText="1" shrinkToFit="1"/>
    </xf>
    <xf numFmtId="0" fontId="2" fillId="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37" fontId="5" fillId="4" borderId="7" xfId="1" applyNumberFormat="1" applyFont="1" applyFill="1" applyBorder="1" applyAlignment="1">
      <alignment horizontal="center" vertical="center" wrapText="1"/>
    </xf>
    <xf numFmtId="1" fontId="5" fillId="4" borderId="7" xfId="0" applyNumberFormat="1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8" fillId="0" borderId="7" xfId="3" applyNumberFormat="1" applyFont="1" applyFill="1" applyBorder="1" applyAlignment="1" applyProtection="1">
      <alignment horizontal="center" vertical="center" wrapText="1"/>
    </xf>
    <xf numFmtId="0" fontId="9" fillId="0" borderId="7" xfId="2" quotePrefix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vertical="center" wrapText="1"/>
    </xf>
    <xf numFmtId="0" fontId="9" fillId="0" borderId="7" xfId="2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4" fontId="12" fillId="0" borderId="7" xfId="0" quotePrefix="1" applyNumberFormat="1" applyFont="1" applyBorder="1" applyAlignment="1">
      <alignment vertical="center" wrapText="1"/>
    </xf>
    <xf numFmtId="0" fontId="13" fillId="0" borderId="7" xfId="3" quotePrefix="1" applyFont="1" applyFill="1" applyBorder="1" applyAlignment="1">
      <alignment horizontal="center" vertical="center" wrapText="1"/>
    </xf>
    <xf numFmtId="0" fontId="13" fillId="0" borderId="7" xfId="3" applyNumberFormat="1" applyFont="1" applyFill="1" applyBorder="1" applyAlignment="1" applyProtection="1">
      <alignment horizontal="center" vertical="center"/>
    </xf>
    <xf numFmtId="0" fontId="7" fillId="0" borderId="7" xfId="3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5" borderId="7" xfId="3" applyNumberFormat="1" applyFont="1" applyFill="1" applyBorder="1" applyAlignment="1" applyProtection="1">
      <alignment horizontal="center" vertical="center" wrapText="1"/>
    </xf>
    <xf numFmtId="0" fontId="9" fillId="5" borderId="7" xfId="2" quotePrefix="1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vertical="center" wrapText="1"/>
    </xf>
    <xf numFmtId="0" fontId="9" fillId="5" borderId="7" xfId="2" quotePrefix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4" fontId="12" fillId="5" borderId="7" xfId="0" quotePrefix="1" applyNumberFormat="1" applyFont="1" applyFill="1" applyBorder="1" applyAlignment="1">
      <alignment vertical="center" wrapText="1"/>
    </xf>
    <xf numFmtId="0" fontId="13" fillId="5" borderId="7" xfId="3" quotePrefix="1" applyFont="1" applyFill="1" applyBorder="1" applyAlignment="1">
      <alignment horizontal="center" vertical="center" wrapText="1"/>
    </xf>
    <xf numFmtId="0" fontId="13" fillId="5" borderId="7" xfId="3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12" fillId="5" borderId="0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2" fillId="0" borderId="7" xfId="0" quotePrefix="1" applyFont="1" applyFill="1" applyBorder="1" applyAlignment="1">
      <alignment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12" fillId="0" borderId="7" xfId="0" quotePrefix="1" applyNumberFormat="1" applyFont="1" applyFill="1" applyBorder="1" applyAlignment="1">
      <alignment vertical="center" wrapText="1"/>
    </xf>
    <xf numFmtId="0" fontId="0" fillId="0" borderId="0" xfId="0" applyFill="1"/>
    <xf numFmtId="0" fontId="9" fillId="0" borderId="7" xfId="0" quotePrefix="1" applyFont="1" applyBorder="1" applyAlignment="1">
      <alignment horizontal="center" vertical="center" wrapText="1"/>
    </xf>
    <xf numFmtId="0" fontId="14" fillId="0" borderId="7" xfId="0" quotePrefix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/>
      <sheetData sheetId="1"/>
      <sheetData sheetId="2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39" workbookViewId="0">
      <selection activeCell="B47" sqref="B47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"/>
      <c r="T1" s="1"/>
      <c r="U1" s="1"/>
      <c r="V1" s="2"/>
      <c r="W1" s="3"/>
    </row>
    <row r="2" spans="1:23" ht="18.75" x14ac:dyDescent="0.25">
      <c r="A2" s="45" t="s">
        <v>1</v>
      </c>
      <c r="B2" s="47" t="s">
        <v>2</v>
      </c>
      <c r="C2" s="48"/>
      <c r="D2" s="48"/>
      <c r="E2" s="48"/>
      <c r="F2" s="48"/>
      <c r="G2" s="49"/>
      <c r="H2" s="53" t="s">
        <v>3</v>
      </c>
      <c r="I2" s="45"/>
      <c r="J2" s="58" t="s">
        <v>4</v>
      </c>
      <c r="K2" s="59"/>
      <c r="L2" s="55"/>
      <c r="M2" s="56"/>
      <c r="N2" s="55" t="s">
        <v>5</v>
      </c>
      <c r="O2" s="56"/>
      <c r="P2" s="44" t="s">
        <v>6</v>
      </c>
      <c r="Q2" s="44"/>
      <c r="R2" s="44"/>
      <c r="S2" s="4"/>
      <c r="T2" s="4"/>
      <c r="U2" s="4"/>
      <c r="V2" s="2"/>
      <c r="W2" s="3"/>
    </row>
    <row r="3" spans="1:23" ht="18.75" x14ac:dyDescent="0.25">
      <c r="A3" s="46"/>
      <c r="B3" s="50"/>
      <c r="C3" s="51"/>
      <c r="D3" s="51"/>
      <c r="E3" s="51"/>
      <c r="F3" s="51"/>
      <c r="G3" s="52"/>
      <c r="H3" s="54"/>
      <c r="I3" s="46"/>
      <c r="J3" s="60"/>
      <c r="K3" s="61"/>
      <c r="L3" s="55" t="s">
        <v>7</v>
      </c>
      <c r="M3" s="56"/>
      <c r="N3" s="55"/>
      <c r="O3" s="56"/>
      <c r="P3" s="44"/>
      <c r="Q3" s="44"/>
      <c r="R3" s="44"/>
      <c r="S3" s="4"/>
      <c r="T3" s="4"/>
      <c r="U3" s="4"/>
      <c r="V3" s="2"/>
      <c r="W3" s="3"/>
    </row>
    <row r="4" spans="1:23" ht="18.75" x14ac:dyDescent="0.25">
      <c r="A4" s="45" t="s">
        <v>8</v>
      </c>
      <c r="B4" s="47" t="s">
        <v>9</v>
      </c>
      <c r="C4" s="48"/>
      <c r="D4" s="48"/>
      <c r="E4" s="48"/>
      <c r="F4" s="48"/>
      <c r="G4" s="49"/>
      <c r="H4" s="53" t="s">
        <v>10</v>
      </c>
      <c r="I4" s="45"/>
      <c r="J4" s="47" t="s">
        <v>11</v>
      </c>
      <c r="K4" s="49"/>
      <c r="L4" s="55" t="s">
        <v>12</v>
      </c>
      <c r="M4" s="56"/>
      <c r="N4" s="55"/>
      <c r="O4" s="56"/>
      <c r="P4" s="44"/>
      <c r="Q4" s="44"/>
      <c r="R4" s="44"/>
      <c r="S4" s="4"/>
      <c r="T4" s="4"/>
      <c r="U4" s="4"/>
      <c r="V4" s="2"/>
      <c r="W4" s="3"/>
    </row>
    <row r="5" spans="1:23" ht="18.75" x14ac:dyDescent="0.25">
      <c r="A5" s="46"/>
      <c r="B5" s="50"/>
      <c r="C5" s="51"/>
      <c r="D5" s="51"/>
      <c r="E5" s="51"/>
      <c r="F5" s="51"/>
      <c r="G5" s="52"/>
      <c r="H5" s="54"/>
      <c r="I5" s="46"/>
      <c r="J5" s="50"/>
      <c r="K5" s="52"/>
      <c r="L5" s="55" t="s">
        <v>13</v>
      </c>
      <c r="M5" s="56"/>
      <c r="N5" s="55"/>
      <c r="O5" s="56"/>
      <c r="P5" s="44"/>
      <c r="Q5" s="44"/>
      <c r="R5" s="44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119</v>
      </c>
      <c r="C6" s="5" t="s">
        <v>120</v>
      </c>
      <c r="D6" s="5" t="s">
        <v>121</v>
      </c>
      <c r="E6" s="5" t="s">
        <v>122</v>
      </c>
      <c r="F6" s="5" t="s">
        <v>123</v>
      </c>
      <c r="G6" s="5" t="s">
        <v>124</v>
      </c>
      <c r="H6" s="5" t="s">
        <v>125</v>
      </c>
      <c r="I6" s="5" t="s">
        <v>126</v>
      </c>
      <c r="J6" s="5" t="s">
        <v>127</v>
      </c>
      <c r="K6" s="5" t="s">
        <v>128</v>
      </c>
      <c r="L6" s="5" t="s">
        <v>129</v>
      </c>
      <c r="M6" s="5" t="s">
        <v>130</v>
      </c>
      <c r="N6" s="6" t="s">
        <v>131</v>
      </c>
      <c r="O6" s="6" t="s">
        <v>15</v>
      </c>
      <c r="P6" s="7" t="s">
        <v>132</v>
      </c>
      <c r="Q6" s="7" t="s">
        <v>16</v>
      </c>
      <c r="R6" s="5" t="s">
        <v>133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30" x14ac:dyDescent="0.25">
      <c r="A7" s="11">
        <v>19</v>
      </c>
      <c r="B7" s="12" t="str">
        <f>IF(VLOOKUP($F7,[1]VTLK!$G$4:$H$478,2,FALSE)&lt;&gt;"",VLOOKUP($F7,[1]VTLK!$G$4:$H$478,2,FALSE),"")</f>
        <v>CAP-TA, SMD, 2.2UF , ±10% ,1206 , 35V, 4.5 Ohm</v>
      </c>
      <c r="C7" s="13" t="s">
        <v>26</v>
      </c>
      <c r="D7" s="14" t="str">
        <f t="shared" ref="D7:D42" si="0">IF(FIND(",",B7)&lt;(FIND(",",B7)),LEFT(B7,FIND(",",B7)-1),(LEFT(B7,FIND(",",B7)-1)))</f>
        <v>CAP-TA</v>
      </c>
      <c r="E7" s="15" t="s">
        <v>30</v>
      </c>
      <c r="F7" s="15" t="s">
        <v>31</v>
      </c>
      <c r="G7" s="16" t="str">
        <f>IF(VLOOKUP($F7,[1]VTLK!$G$4:$L$478,3,FALSE)&lt;&gt;"",VLOOKUP($F7,[1]VTLK!$G$4:$L$478,3,FALSE),"")</f>
        <v>Nichicon</v>
      </c>
      <c r="H7" s="16" t="str">
        <f>IF(VLOOKUP($F7,[1]VTLK!$G$4:$L$478,4,FALSE)&lt;&gt;"",VLOOKUP($F7,[1]VTLK!$G$4:$L$478,4,FALSE),"-")</f>
        <v>F951V225KAAAQ2</v>
      </c>
      <c r="I7" s="16" t="str">
        <f>IF(VLOOKUP($F7,[1]VTLK!$G$4:$L$478,5,FALSE)&lt;&gt;"",VLOOKUP($F7,[1]VTLK!$G$4:$L$478,5,FALSE),"")</f>
        <v>KEMET</v>
      </c>
      <c r="J7" s="16" t="str">
        <f>IF(VLOOKUP($F7,[1]VTLK!$G$4:$L$478,6,FALSE)&lt;&gt;"",VLOOKUP($F7,[1]VTLK!$G$4:$L$478,6,FALSE),"-")</f>
        <v>T491A225K035AT</v>
      </c>
      <c r="K7" s="17">
        <v>1</v>
      </c>
      <c r="L7" s="11" t="s">
        <v>22</v>
      </c>
      <c r="M7" s="15" t="s">
        <v>32</v>
      </c>
      <c r="N7" s="18">
        <f>VLOOKUP(F7,[1]VTLK!$G$4:$P$478,10,FALSE)</f>
        <v>1937.97</v>
      </c>
      <c r="O7" s="18">
        <f t="shared" ref="O7:O42" si="1">K7*N7</f>
        <v>1937.97</v>
      </c>
      <c r="P7" s="19">
        <f t="shared" ref="P7:P42" si="2">IF(F7&lt;&gt;"-", IF(H7&lt;&gt;"-",IF(J7&lt;&gt;"-",3,2),IF(J7&lt;&gt;"-",2,1)),IF(H7&lt;&gt;"-",IF(J7&lt;&gt;"-",2,1),IF(J7&lt;&gt;"-",1,0)))</f>
        <v>3</v>
      </c>
      <c r="Q7" s="19" t="str">
        <f>VLOOKUP(F7,[2]PL1_BOTHU!$F$9:$V$522,17,FALSE)</f>
        <v>2~4W</v>
      </c>
      <c r="R7" s="20" t="s">
        <v>28</v>
      </c>
      <c r="S7" s="20">
        <v>1</v>
      </c>
      <c r="T7" s="20"/>
      <c r="U7" s="21" t="s">
        <v>24</v>
      </c>
      <c r="V7" s="23"/>
      <c r="W7" s="22" t="s">
        <v>29</v>
      </c>
    </row>
    <row r="8" spans="1:23" ht="30" x14ac:dyDescent="0.25">
      <c r="A8" s="11">
        <v>20</v>
      </c>
      <c r="B8" s="12" t="str">
        <f>IF(VLOOKUP($F8,[1]VTLK!$G$4:$H$478,2,FALSE)&lt;&gt;"",VLOOKUP($F8,[1]VTLK!$G$4:$H$478,2,FALSE),"")</f>
        <v>CAP-TA, SMD, 4.7UF , ±10% ,1206 , 16V, 4.5 Ohm</v>
      </c>
      <c r="C8" s="13" t="s">
        <v>26</v>
      </c>
      <c r="D8" s="14" t="str">
        <f t="shared" si="0"/>
        <v>CAP-TA</v>
      </c>
      <c r="E8" s="15" t="s">
        <v>30</v>
      </c>
      <c r="F8" s="15" t="s">
        <v>33</v>
      </c>
      <c r="G8" s="16" t="str">
        <f>IF(VLOOKUP($F8,[1]VTLK!$G$4:$L$478,3,FALSE)&lt;&gt;"",VLOOKUP($F8,[1]VTLK!$G$4:$L$478,3,FALSE),"")</f>
        <v>KEMET</v>
      </c>
      <c r="H8" s="16" t="str">
        <f>IF(VLOOKUP($F8,[1]VTLK!$G$4:$L$478,4,FALSE)&lt;&gt;"",VLOOKUP($F8,[1]VTLK!$G$4:$L$478,4,FALSE),"-")</f>
        <v>T491A475K016AT</v>
      </c>
      <c r="I8" s="16" t="str">
        <f>IF(VLOOKUP($F8,[1]VTLK!$G$4:$L$478,5,FALSE)&lt;&gt;"",VLOOKUP($F8,[1]VTLK!$G$4:$L$478,5,FALSE),"")</f>
        <v>Vishay Sprague</v>
      </c>
      <c r="J8" s="16" t="str">
        <f>IF(VLOOKUP($F8,[1]VTLK!$G$4:$L$478,6,FALSE)&lt;&gt;"",VLOOKUP($F8,[1]VTLK!$G$4:$L$478,6,FALSE),"-")</f>
        <v>TR3A475K016C1500</v>
      </c>
      <c r="K8" s="17">
        <v>1</v>
      </c>
      <c r="L8" s="11" t="s">
        <v>22</v>
      </c>
      <c r="M8" s="15" t="s">
        <v>34</v>
      </c>
      <c r="N8" s="18">
        <f>VLOOKUP(F8,[1]VTLK!$G$4:$P$478,10,FALSE)</f>
        <v>6642.9</v>
      </c>
      <c r="O8" s="18">
        <f t="shared" si="1"/>
        <v>6642.9</v>
      </c>
      <c r="P8" s="19">
        <f t="shared" si="2"/>
        <v>3</v>
      </c>
      <c r="Q8" s="19" t="str">
        <f>VLOOKUP(F8,[2]PL1_BOTHU!$F$9:$V$522,17,FALSE)</f>
        <v>2W</v>
      </c>
      <c r="R8" s="20" t="s">
        <v>28</v>
      </c>
      <c r="S8" s="20">
        <v>1</v>
      </c>
      <c r="T8" s="20"/>
      <c r="U8" s="21" t="s">
        <v>24</v>
      </c>
      <c r="V8" s="23"/>
      <c r="W8" s="22" t="s">
        <v>29</v>
      </c>
    </row>
    <row r="9" spans="1:23" ht="30" x14ac:dyDescent="0.25">
      <c r="A9" s="11">
        <v>21</v>
      </c>
      <c r="B9" s="12" t="str">
        <f>IF(VLOOKUP($F9,[1]VTLK!$G$4:$H$478,2,FALSE)&lt;&gt;"",VLOOKUP($F9,[1]VTLK!$G$4:$H$478,2,FALSE),"")</f>
        <v xml:space="preserve"> CAP-CER,  SMD, 20pF , ±5%  , 0402,   50V C0G, NP0 </v>
      </c>
      <c r="C9" s="13" t="s">
        <v>26</v>
      </c>
      <c r="D9" s="14" t="str">
        <f t="shared" si="0"/>
        <v xml:space="preserve"> CAP-CER</v>
      </c>
      <c r="E9" s="15" t="s">
        <v>30</v>
      </c>
      <c r="F9" s="15" t="s">
        <v>35</v>
      </c>
      <c r="G9" s="16" t="str">
        <f>IF(VLOOKUP($F9,[1]VTLK!$G$4:$L$478,3,FALSE)&lt;&gt;"",VLOOKUP($F9,[1]VTLK!$G$4:$L$478,3,FALSE),"")</f>
        <v>KEMET</v>
      </c>
      <c r="H9" s="16" t="str">
        <f>IF(VLOOKUP($F9,[1]VTLK!$G$4:$L$478,4,FALSE)&lt;&gt;"",VLOOKUP($F9,[1]VTLK!$G$4:$L$478,4,FALSE),"-")</f>
        <v>C0402C200J5GACTU</v>
      </c>
      <c r="I9" s="16" t="str">
        <f>IF(VLOOKUP($F9,[1]VTLK!$G$4:$L$478,5,FALSE)&lt;&gt;"",VLOOKUP($F9,[1]VTLK!$G$4:$L$478,5,FALSE),"")</f>
        <v>Murata Electronics North America</v>
      </c>
      <c r="J9" s="16" t="str">
        <f>IF(VLOOKUP($F9,[1]VTLK!$G$4:$L$478,6,FALSE)&lt;&gt;"",VLOOKUP($F9,[1]VTLK!$G$4:$L$478,6,FALSE),"-")</f>
        <v>GJM1555C1H200JB01D</v>
      </c>
      <c r="K9" s="17">
        <v>2</v>
      </c>
      <c r="L9" s="11" t="s">
        <v>22</v>
      </c>
      <c r="M9" s="15" t="s">
        <v>36</v>
      </c>
      <c r="N9" s="18">
        <f>VLOOKUP(F9,[1]VTLK!$G$4:$P$478,10,FALSE)</f>
        <v>7109.55</v>
      </c>
      <c r="O9" s="18">
        <f t="shared" si="1"/>
        <v>14219.1</v>
      </c>
      <c r="P9" s="19">
        <f t="shared" si="2"/>
        <v>3</v>
      </c>
      <c r="Q9" s="19" t="str">
        <f>VLOOKUP(F9,[2]PL1_BOTHU!$F$9:$V$522,17,FALSE)</f>
        <v>2W</v>
      </c>
      <c r="R9" s="20" t="s">
        <v>28</v>
      </c>
      <c r="S9" s="20">
        <v>1</v>
      </c>
      <c r="T9" s="20"/>
      <c r="U9" s="21" t="s">
        <v>24</v>
      </c>
      <c r="V9" s="23"/>
      <c r="W9" s="22" t="s">
        <v>29</v>
      </c>
    </row>
    <row r="10" spans="1:23" ht="30" x14ac:dyDescent="0.25">
      <c r="A10" s="11">
        <v>22</v>
      </c>
      <c r="B10" s="12" t="str">
        <f>IF(VLOOKUP($F10,[1]VTLK!$G$4:$H$478,2,FALSE)&lt;&gt;"",VLOOKUP($F10,[1]VTLK!$G$4:$H$478,2,FALSE),"")</f>
        <v>FILTER-SMD, Ceramic High pass filter 2450 to 7000MHz, 50 Ohm</v>
      </c>
      <c r="C10" s="36" t="s">
        <v>37</v>
      </c>
      <c r="D10" s="37" t="str">
        <f t="shared" si="0"/>
        <v>FILTER-SMD</v>
      </c>
      <c r="E10" s="38" t="s">
        <v>21</v>
      </c>
      <c r="F10" s="38" t="s">
        <v>38</v>
      </c>
      <c r="G10" s="16" t="e">
        <f>IF(VLOOKUP($F10,[1]VTLK!$G$4:$L$478,3,FALSE)&lt;&gt;"",VLOOKUP($F10,[1]VTLK!$G$4:$L$478,3,FALSE),"")</f>
        <v>#REF!</v>
      </c>
      <c r="H10" s="16" t="e">
        <f>IF(VLOOKUP($F10,[1]VTLK!$G$4:$L$478,4,FALSE)&lt;&gt;"",VLOOKUP($F10,[1]VTLK!$G$4:$L$478,4,FALSE),"-")</f>
        <v>#REF!</v>
      </c>
      <c r="I10" s="16" t="e">
        <f>IF(VLOOKUP($F10,[1]VTLK!$G$4:$L$478,5,FALSE)&lt;&gt;"",VLOOKUP($F10,[1]VTLK!$G$4:$L$478,5,FALSE),"")</f>
        <v>#REF!</v>
      </c>
      <c r="J10" s="16" t="e">
        <f>IF(VLOOKUP($F10,[1]VTLK!$G$4:$L$478,6,FALSE)&lt;&gt;"",VLOOKUP($F10,[1]VTLK!$G$4:$L$478,6,FALSE),"-")</f>
        <v>#REF!</v>
      </c>
      <c r="K10" s="39">
        <f>1+4</f>
        <v>5</v>
      </c>
      <c r="L10" s="11" t="s">
        <v>22</v>
      </c>
      <c r="M10" s="38" t="s">
        <v>39</v>
      </c>
      <c r="N10" s="40">
        <f>VLOOKUP(F10,[1]VTLK!$G$4:$P$478,10,FALSE)</f>
        <v>54263</v>
      </c>
      <c r="O10" s="40">
        <f t="shared" si="1"/>
        <v>271315</v>
      </c>
      <c r="P10" s="19" t="e">
        <f t="shared" si="2"/>
        <v>#REF!</v>
      </c>
      <c r="Q10" s="19" t="str">
        <f>VLOOKUP(F10,[2]PL1_BOTHU!$F$9:$V$522,17,FALSE)</f>
        <v>3~4W</v>
      </c>
      <c r="R10" s="20" t="s">
        <v>23</v>
      </c>
      <c r="S10" s="20">
        <v>1</v>
      </c>
      <c r="T10" s="20"/>
      <c r="U10" s="21" t="s">
        <v>24</v>
      </c>
      <c r="V10" s="41"/>
      <c r="W10" s="22" t="s">
        <v>25</v>
      </c>
    </row>
    <row r="11" spans="1:23" ht="30" x14ac:dyDescent="0.25">
      <c r="A11" s="11">
        <v>23</v>
      </c>
      <c r="B11" s="12" t="str">
        <f>IF(VLOOKUP($F11,[1]VTLK!$G$4:$H$478,2,FALSE)&lt;&gt;"",VLOOKUP($F11,[1]VTLK!$G$4:$H$478,2,FALSE),"")</f>
        <v>FILTER-SMD, Ceramic LOW pass filter DC to 90MHz, 50Ohm</v>
      </c>
      <c r="C11" s="13" t="s">
        <v>37</v>
      </c>
      <c r="D11" s="14" t="str">
        <f t="shared" si="0"/>
        <v>FILTER-SMD</v>
      </c>
      <c r="E11" s="15" t="s">
        <v>21</v>
      </c>
      <c r="F11" s="15" t="s">
        <v>40</v>
      </c>
      <c r="G11" s="16" t="e">
        <f>IF(VLOOKUP($F11,[1]VTLK!$G$4:$L$478,3,FALSE)&lt;&gt;"",VLOOKUP($F11,[1]VTLK!$G$4:$L$478,3,FALSE),"")</f>
        <v>#REF!</v>
      </c>
      <c r="H11" s="16" t="e">
        <f>IF(VLOOKUP($F11,[1]VTLK!$G$4:$L$478,4,FALSE)&lt;&gt;"",VLOOKUP($F11,[1]VTLK!$G$4:$L$478,4,FALSE),"-")</f>
        <v>#REF!</v>
      </c>
      <c r="I11" s="16" t="e">
        <f>IF(VLOOKUP($F11,[1]VTLK!$G$4:$L$478,5,FALSE)&lt;&gt;"",VLOOKUP($F11,[1]VTLK!$G$4:$L$478,5,FALSE),"")</f>
        <v>#REF!</v>
      </c>
      <c r="J11" s="16" t="e">
        <f>IF(VLOOKUP($F11,[1]VTLK!$G$4:$L$478,6,FALSE)&lt;&gt;"",VLOOKUP($F11,[1]VTLK!$G$4:$L$478,6,FALSE),"-")</f>
        <v>#REF!</v>
      </c>
      <c r="K11" s="17">
        <v>2</v>
      </c>
      <c r="L11" s="11" t="s">
        <v>22</v>
      </c>
      <c r="M11" s="15" t="s">
        <v>41</v>
      </c>
      <c r="N11" s="18">
        <f>VLOOKUP(F11,[1]VTLK!$G$4:$P$478,10,FALSE)</f>
        <v>245406</v>
      </c>
      <c r="O11" s="18">
        <f t="shared" si="1"/>
        <v>490812</v>
      </c>
      <c r="P11" s="19" t="e">
        <f t="shared" si="2"/>
        <v>#REF!</v>
      </c>
      <c r="Q11" s="19" t="str">
        <f>VLOOKUP(F11,[2]PL1_BOTHU!$F$9:$V$522,17,FALSE)</f>
        <v>3~4W</v>
      </c>
      <c r="R11" s="20" t="s">
        <v>23</v>
      </c>
      <c r="S11" s="20">
        <v>1</v>
      </c>
      <c r="T11" s="20"/>
      <c r="U11" s="21" t="s">
        <v>24</v>
      </c>
      <c r="V11" s="23"/>
      <c r="W11" s="22" t="s">
        <v>25</v>
      </c>
    </row>
    <row r="12" spans="1:23" ht="30" x14ac:dyDescent="0.25">
      <c r="A12" s="11">
        <v>24</v>
      </c>
      <c r="B12" s="12" t="str">
        <f>IF(VLOOKUP($F12,[1]VTLK!$G$4:$H$478,2,FALSE)&lt;&gt;"",VLOOKUP($F12,[1]VTLK!$G$4:$H$478,2,FALSE),"")</f>
        <v>FILTER-SMD, Ceramic LOW pass filter DC to 225MHz,  50Ohm</v>
      </c>
      <c r="C12" s="13" t="s">
        <v>37</v>
      </c>
      <c r="D12" s="14" t="str">
        <f t="shared" si="0"/>
        <v>FILTER-SMD</v>
      </c>
      <c r="E12" s="15" t="s">
        <v>21</v>
      </c>
      <c r="F12" s="15" t="s">
        <v>42</v>
      </c>
      <c r="G12" s="16" t="e">
        <f>IF(VLOOKUP($F12,[1]VTLK!$G$4:$L$478,3,FALSE)&lt;&gt;"",VLOOKUP($F12,[1]VTLK!$G$4:$L$478,3,FALSE),"")</f>
        <v>#REF!</v>
      </c>
      <c r="H12" s="16" t="e">
        <f>IF(VLOOKUP($F12,[1]VTLK!$G$4:$L$478,4,FALSE)&lt;&gt;"",VLOOKUP($F12,[1]VTLK!$G$4:$L$478,4,FALSE),"-")</f>
        <v>#REF!</v>
      </c>
      <c r="I12" s="16" t="e">
        <f>IF(VLOOKUP($F12,[1]VTLK!$G$4:$L$478,5,FALSE)&lt;&gt;"",VLOOKUP($F12,[1]VTLK!$G$4:$L$478,5,FALSE),"")</f>
        <v>#REF!</v>
      </c>
      <c r="J12" s="16" t="e">
        <f>IF(VLOOKUP($F12,[1]VTLK!$G$4:$L$478,6,FALSE)&lt;&gt;"",VLOOKUP($F12,[1]VTLK!$G$4:$L$478,6,FALSE),"-")</f>
        <v>#REF!</v>
      </c>
      <c r="K12" s="17">
        <v>2</v>
      </c>
      <c r="L12" s="11" t="s">
        <v>22</v>
      </c>
      <c r="M12" s="15" t="s">
        <v>43</v>
      </c>
      <c r="N12" s="18">
        <f>VLOOKUP(F12,[1]VTLK!$G$4:$P$478,10,FALSE)</f>
        <v>95163</v>
      </c>
      <c r="O12" s="18">
        <f t="shared" si="1"/>
        <v>190326</v>
      </c>
      <c r="P12" s="19" t="e">
        <f t="shared" si="2"/>
        <v>#REF!</v>
      </c>
      <c r="Q12" s="19" t="str">
        <f>VLOOKUP(F12,[2]PL1_BOTHU!$F$9:$V$522,17,FALSE)</f>
        <v>3~4W</v>
      </c>
      <c r="R12" s="20" t="s">
        <v>23</v>
      </c>
      <c r="S12" s="20">
        <v>1</v>
      </c>
      <c r="T12" s="20"/>
      <c r="U12" s="21" t="s">
        <v>24</v>
      </c>
      <c r="V12" s="23"/>
      <c r="W12" s="22" t="s">
        <v>25</v>
      </c>
    </row>
    <row r="13" spans="1:23" ht="30" x14ac:dyDescent="0.25">
      <c r="A13" s="11">
        <v>25</v>
      </c>
      <c r="B13" s="12" t="str">
        <f>IF(VLOOKUP($F13,[1]VTLK!$G$4:$H$478,2,FALSE)&lt;&gt;"",VLOOKUP($F13,[1]VTLK!$G$4:$H$478,2,FALSE),"")</f>
        <v>FILTER-SMD, Ceramic LOW pass filter DC to 1400MHz,  50Ohm</v>
      </c>
      <c r="C13" s="13" t="s">
        <v>37</v>
      </c>
      <c r="D13" s="14" t="str">
        <f t="shared" si="0"/>
        <v>FILTER-SMD</v>
      </c>
      <c r="E13" s="15" t="s">
        <v>21</v>
      </c>
      <c r="F13" s="15" t="s">
        <v>44</v>
      </c>
      <c r="G13" s="16" t="e">
        <f>IF(VLOOKUP($F13,[1]VTLK!$G$4:$L$478,3,FALSE)&lt;&gt;"",VLOOKUP($F13,[1]VTLK!$G$4:$L$478,3,FALSE),"")</f>
        <v>#REF!</v>
      </c>
      <c r="H13" s="16" t="e">
        <f>IF(VLOOKUP($F13,[1]VTLK!$G$4:$L$478,4,FALSE)&lt;&gt;"",VLOOKUP($F13,[1]VTLK!$G$4:$L$478,4,FALSE),"-")</f>
        <v>#REF!</v>
      </c>
      <c r="I13" s="16" t="e">
        <f>IF(VLOOKUP($F13,[1]VTLK!$G$4:$L$478,5,FALSE)&lt;&gt;"",VLOOKUP($F13,[1]VTLK!$G$4:$L$478,5,FALSE),"")</f>
        <v>#REF!</v>
      </c>
      <c r="J13" s="16" t="e">
        <f>IF(VLOOKUP($F13,[1]VTLK!$G$4:$L$478,6,FALSE)&lt;&gt;"",VLOOKUP($F13,[1]VTLK!$G$4:$L$478,6,FALSE),"-")</f>
        <v>#REF!</v>
      </c>
      <c r="K13" s="17">
        <v>4</v>
      </c>
      <c r="L13" s="11" t="s">
        <v>22</v>
      </c>
      <c r="M13" s="15" t="s">
        <v>45</v>
      </c>
      <c r="N13" s="18">
        <f>VLOOKUP(F13,[1]VTLK!$G$4:$P$478,10,FALSE)</f>
        <v>86984</v>
      </c>
      <c r="O13" s="18">
        <f t="shared" si="1"/>
        <v>347936</v>
      </c>
      <c r="P13" s="19" t="e">
        <f t="shared" si="2"/>
        <v>#REF!</v>
      </c>
      <c r="Q13" s="19" t="str">
        <f>VLOOKUP(F13,[2]PL1_BOTHU!$F$9:$V$522,17,FALSE)</f>
        <v>3~4W</v>
      </c>
      <c r="R13" s="20" t="s">
        <v>23</v>
      </c>
      <c r="S13" s="20">
        <v>1</v>
      </c>
      <c r="T13" s="20"/>
      <c r="U13" s="21" t="s">
        <v>24</v>
      </c>
      <c r="V13" s="23"/>
      <c r="W13" s="22" t="s">
        <v>25</v>
      </c>
    </row>
    <row r="14" spans="1:23" ht="30" x14ac:dyDescent="0.25">
      <c r="A14" s="11">
        <v>26</v>
      </c>
      <c r="B14" s="12" t="str">
        <f>IF(VLOOKUP($F14,[1]VTLK!$G$4:$H$478,2,FALSE)&lt;&gt;"",VLOOKUP($F14,[1]VTLK!$G$4:$H$478,2,FALSE),"")</f>
        <v>FILTER- SMD, Metal Shield High pass filter 250 to 3000MHz, 50 Ohm</v>
      </c>
      <c r="C14" s="13" t="s">
        <v>37</v>
      </c>
      <c r="D14" s="14" t="str">
        <f t="shared" si="0"/>
        <v>FILTER- SMD</v>
      </c>
      <c r="E14" s="15" t="s">
        <v>21</v>
      </c>
      <c r="F14" s="15" t="s">
        <v>46</v>
      </c>
      <c r="G14" s="16" t="e">
        <f>IF(VLOOKUP($F14,[1]VTLK!$G$4:$L$478,3,FALSE)&lt;&gt;"",VLOOKUP($F14,[1]VTLK!$G$4:$L$478,3,FALSE),"")</f>
        <v>#REF!</v>
      </c>
      <c r="H14" s="16" t="e">
        <f>IF(VLOOKUP($F14,[1]VTLK!$G$4:$L$478,4,FALSE)&lt;&gt;"",VLOOKUP($F14,[1]VTLK!$G$4:$L$478,4,FALSE),"-")</f>
        <v>#REF!</v>
      </c>
      <c r="I14" s="16" t="e">
        <f>IF(VLOOKUP($F14,[1]VTLK!$G$4:$L$478,5,FALSE)&lt;&gt;"",VLOOKUP($F14,[1]VTLK!$G$4:$L$478,5,FALSE),"")</f>
        <v>#REF!</v>
      </c>
      <c r="J14" s="16" t="e">
        <f>IF(VLOOKUP($F14,[1]VTLK!$G$4:$L$478,6,FALSE)&lt;&gt;"",VLOOKUP($F14,[1]VTLK!$G$4:$L$478,6,FALSE),"-")</f>
        <v>#REF!</v>
      </c>
      <c r="K14" s="17">
        <v>2</v>
      </c>
      <c r="L14" s="11" t="s">
        <v>22</v>
      </c>
      <c r="M14" s="15" t="s">
        <v>47</v>
      </c>
      <c r="N14" s="18">
        <f>VLOOKUP(F14,[1]VTLK!$G$4:$P$478,10,FALSE)</f>
        <v>335389</v>
      </c>
      <c r="O14" s="18">
        <f t="shared" si="1"/>
        <v>670778</v>
      </c>
      <c r="P14" s="19" t="e">
        <f t="shared" si="2"/>
        <v>#REF!</v>
      </c>
      <c r="Q14" s="19" t="str">
        <f>VLOOKUP(F14,[2]PL1_BOTHU!$F$9:$V$522,17,FALSE)</f>
        <v>3~4W</v>
      </c>
      <c r="R14" s="20" t="s">
        <v>23</v>
      </c>
      <c r="S14" s="20">
        <v>1</v>
      </c>
      <c r="T14" s="20"/>
      <c r="U14" s="21" t="s">
        <v>24</v>
      </c>
      <c r="V14" s="23"/>
      <c r="W14" s="22" t="s">
        <v>25</v>
      </c>
    </row>
    <row r="15" spans="1:23" ht="30" x14ac:dyDescent="0.25">
      <c r="A15" s="11">
        <v>27</v>
      </c>
      <c r="B15" s="12" t="str">
        <f>IF(VLOOKUP($F15,[1]VTLK!$G$4:$H$478,2,FALSE)&lt;&gt;"",VLOOKUP($F15,[1]VTLK!$G$4:$H$478,2,FALSE),"")</f>
        <v>FILTER- SMD, Ceramic LOW pass filter DC to 490MHz,  50Ohm</v>
      </c>
      <c r="C15" s="13" t="s">
        <v>37</v>
      </c>
      <c r="D15" s="14" t="str">
        <f t="shared" si="0"/>
        <v>FILTER- SMD</v>
      </c>
      <c r="E15" s="15" t="s">
        <v>21</v>
      </c>
      <c r="F15" s="15" t="s">
        <v>48</v>
      </c>
      <c r="G15" s="16" t="e">
        <f>IF(VLOOKUP($F15,[1]VTLK!$G$4:$L$478,3,FALSE)&lt;&gt;"",VLOOKUP($F15,[1]VTLK!$G$4:$L$478,3,FALSE),"")</f>
        <v>#REF!</v>
      </c>
      <c r="H15" s="16" t="e">
        <f>IF(VLOOKUP($F15,[1]VTLK!$G$4:$L$478,4,FALSE)&lt;&gt;"",VLOOKUP($F15,[1]VTLK!$G$4:$L$478,4,FALSE),"-")</f>
        <v>#REF!</v>
      </c>
      <c r="I15" s="16" t="e">
        <f>IF(VLOOKUP($F15,[1]VTLK!$G$4:$L$478,5,FALSE)&lt;&gt;"",VLOOKUP($F15,[1]VTLK!$G$4:$L$478,5,FALSE),"")</f>
        <v>#REF!</v>
      </c>
      <c r="J15" s="16" t="e">
        <f>IF(VLOOKUP($F15,[1]VTLK!$G$4:$L$478,6,FALSE)&lt;&gt;"",VLOOKUP($F15,[1]VTLK!$G$4:$L$478,6,FALSE),"-")</f>
        <v>#REF!</v>
      </c>
      <c r="K15" s="17">
        <v>2</v>
      </c>
      <c r="L15" s="11" t="s">
        <v>22</v>
      </c>
      <c r="M15" s="15" t="s">
        <v>49</v>
      </c>
      <c r="N15" s="18">
        <f>VLOOKUP(F15,[1]VTLK!$G$4:$P$478,10,FALSE)</f>
        <v>172603</v>
      </c>
      <c r="O15" s="18">
        <f t="shared" si="1"/>
        <v>345206</v>
      </c>
      <c r="P15" s="19" t="e">
        <f t="shared" si="2"/>
        <v>#REF!</v>
      </c>
      <c r="Q15" s="19" t="str">
        <f>VLOOKUP(F15,[2]PL1_BOTHU!$F$9:$V$522,17,FALSE)</f>
        <v>3~4W</v>
      </c>
      <c r="R15" s="20" t="s">
        <v>23</v>
      </c>
      <c r="S15" s="20">
        <v>1</v>
      </c>
      <c r="T15" s="20"/>
      <c r="U15" s="21" t="s">
        <v>24</v>
      </c>
      <c r="V15" s="23"/>
      <c r="W15" s="22" t="s">
        <v>25</v>
      </c>
    </row>
    <row r="16" spans="1:23" ht="30" x14ac:dyDescent="0.25">
      <c r="A16" s="11">
        <v>28</v>
      </c>
      <c r="B16" s="12" t="str">
        <f>IF(VLOOKUP($F16,[1]VTLK!$G$4:$H$478,2,FALSE)&lt;&gt;"",VLOOKUP($F16,[1]VTLK!$G$4:$H$478,2,FALSE),"")</f>
        <v>FILTER- SMD, Ceramic High pass filter 500 to 2500MHz, 50 Ohm</v>
      </c>
      <c r="C16" s="13" t="s">
        <v>37</v>
      </c>
      <c r="D16" s="14" t="str">
        <f t="shared" si="0"/>
        <v>FILTER- SMD</v>
      </c>
      <c r="E16" s="15" t="s">
        <v>21</v>
      </c>
      <c r="F16" s="15" t="s">
        <v>50</v>
      </c>
      <c r="G16" s="16" t="e">
        <f>IF(VLOOKUP($F16,[1]VTLK!$G$4:$L$478,3,FALSE)&lt;&gt;"",VLOOKUP($F16,[1]VTLK!$G$4:$L$478,3,FALSE),"")</f>
        <v>#REF!</v>
      </c>
      <c r="H16" s="16" t="e">
        <f>IF(VLOOKUP($F16,[1]VTLK!$G$4:$L$478,4,FALSE)&lt;&gt;"",VLOOKUP($F16,[1]VTLK!$G$4:$L$478,4,FALSE),"-")</f>
        <v>#REF!</v>
      </c>
      <c r="I16" s="16" t="e">
        <f>IF(VLOOKUP($F16,[1]VTLK!$G$4:$L$478,5,FALSE)&lt;&gt;"",VLOOKUP($F16,[1]VTLK!$G$4:$L$478,5,FALSE),"")</f>
        <v>#REF!</v>
      </c>
      <c r="J16" s="16" t="e">
        <f>IF(VLOOKUP($F16,[1]VTLK!$G$4:$L$478,6,FALSE)&lt;&gt;"",VLOOKUP($F16,[1]VTLK!$G$4:$L$478,6,FALSE),"-")</f>
        <v>#REF!</v>
      </c>
      <c r="K16" s="17">
        <v>2</v>
      </c>
      <c r="L16" s="11" t="s">
        <v>22</v>
      </c>
      <c r="M16" s="15" t="s">
        <v>51</v>
      </c>
      <c r="N16" s="18">
        <f>VLOOKUP(F16,[1]VTLK!$G$4:$P$478,10,FALSE)</f>
        <v>67895</v>
      </c>
      <c r="O16" s="18">
        <f t="shared" si="1"/>
        <v>135790</v>
      </c>
      <c r="P16" s="19" t="e">
        <f t="shared" si="2"/>
        <v>#REF!</v>
      </c>
      <c r="Q16" s="19" t="str">
        <f>VLOOKUP(F16,[2]PL1_BOTHU!$F$9:$V$522,17,FALSE)</f>
        <v>3~4W</v>
      </c>
      <c r="R16" s="20" t="s">
        <v>23</v>
      </c>
      <c r="S16" s="20">
        <v>1</v>
      </c>
      <c r="T16" s="20"/>
      <c r="U16" s="21" t="s">
        <v>24</v>
      </c>
      <c r="V16" s="23"/>
      <c r="W16" s="22" t="s">
        <v>25</v>
      </c>
    </row>
    <row r="17" spans="1:23" ht="30" x14ac:dyDescent="0.25">
      <c r="A17" s="11">
        <v>29</v>
      </c>
      <c r="B17" s="12" t="str">
        <f>IF(VLOOKUP($F17,[1]VTLK!$G$4:$H$478,2,FALSE)&lt;&gt;"",VLOOKUP($F17,[1]VTLK!$G$4:$H$478,2,FALSE),"")</f>
        <v>FILTER- SMD, Ceramic LOW pass filter DC to 1000MHz,  50Ohm</v>
      </c>
      <c r="C17" s="13" t="s">
        <v>37</v>
      </c>
      <c r="D17" s="14" t="str">
        <f t="shared" si="0"/>
        <v>FILTER- SMD</v>
      </c>
      <c r="E17" s="15" t="s">
        <v>21</v>
      </c>
      <c r="F17" s="15" t="s">
        <v>52</v>
      </c>
      <c r="G17" s="16" t="e">
        <f>IF(VLOOKUP($F17,[1]VTLK!$G$4:$L$478,3,FALSE)&lt;&gt;"",VLOOKUP($F17,[1]VTLK!$G$4:$L$478,3,FALSE),"")</f>
        <v>#REF!</v>
      </c>
      <c r="H17" s="16" t="e">
        <f>IF(VLOOKUP($F17,[1]VTLK!$G$4:$L$478,4,FALSE)&lt;&gt;"",VLOOKUP($F17,[1]VTLK!$G$4:$L$478,4,FALSE),"-")</f>
        <v>#REF!</v>
      </c>
      <c r="I17" s="16" t="e">
        <f>IF(VLOOKUP($F17,[1]VTLK!$G$4:$L$478,5,FALSE)&lt;&gt;"",VLOOKUP($F17,[1]VTLK!$G$4:$L$478,5,FALSE),"")</f>
        <v>#REF!</v>
      </c>
      <c r="J17" s="16" t="e">
        <f>IF(VLOOKUP($F17,[1]VTLK!$G$4:$L$478,6,FALSE)&lt;&gt;"",VLOOKUP($F17,[1]VTLK!$G$4:$L$478,6,FALSE),"-")</f>
        <v>#REF!</v>
      </c>
      <c r="K17" s="17">
        <v>2</v>
      </c>
      <c r="L17" s="11" t="s">
        <v>22</v>
      </c>
      <c r="M17" s="15" t="s">
        <v>53</v>
      </c>
      <c r="N17" s="18">
        <f>VLOOKUP(F17,[1]VTLK!$G$4:$P$478,10,FALSE)</f>
        <v>54263</v>
      </c>
      <c r="O17" s="18">
        <f t="shared" si="1"/>
        <v>108526</v>
      </c>
      <c r="P17" s="19" t="e">
        <f t="shared" si="2"/>
        <v>#REF!</v>
      </c>
      <c r="Q17" s="19" t="str">
        <f>VLOOKUP(F17,[2]PL1_BOTHU!$F$9:$V$522,17,FALSE)</f>
        <v>3~4W</v>
      </c>
      <c r="R17" s="20" t="s">
        <v>23</v>
      </c>
      <c r="S17" s="20">
        <v>1</v>
      </c>
      <c r="T17" s="20"/>
      <c r="U17" s="21" t="s">
        <v>24</v>
      </c>
      <c r="V17" s="23"/>
      <c r="W17" s="22" t="s">
        <v>25</v>
      </c>
    </row>
    <row r="18" spans="1:23" ht="30" x14ac:dyDescent="0.25">
      <c r="A18" s="11">
        <v>30</v>
      </c>
      <c r="B18" s="12" t="str">
        <f>IF(VLOOKUP($F18,[1]VTLK!$G$4:$H$478,2,FALSE)&lt;&gt;"",VLOOKUP($F18,[1]VTLK!$G$4:$H$478,2,FALSE),"")</f>
        <v>FILTER- SMD, Metal Shield High pass filter 1200 to 3400MHz, 50 Ohm</v>
      </c>
      <c r="C18" s="13" t="s">
        <v>37</v>
      </c>
      <c r="D18" s="14" t="str">
        <f t="shared" si="0"/>
        <v>FILTER- SMD</v>
      </c>
      <c r="E18" s="15" t="s">
        <v>21</v>
      </c>
      <c r="F18" s="15" t="s">
        <v>54</v>
      </c>
      <c r="G18" s="16" t="e">
        <f>IF(VLOOKUP($F18,[1]VTLK!$G$4:$L$478,3,FALSE)&lt;&gt;"",VLOOKUP($F18,[1]VTLK!$G$4:$L$478,3,FALSE),"")</f>
        <v>#REF!</v>
      </c>
      <c r="H18" s="16" t="e">
        <f>IF(VLOOKUP($F18,[1]VTLK!$G$4:$L$478,4,FALSE)&lt;&gt;"",VLOOKUP($F18,[1]VTLK!$G$4:$L$478,4,FALSE),"-")</f>
        <v>#REF!</v>
      </c>
      <c r="I18" s="16" t="e">
        <f>IF(VLOOKUP($F18,[1]VTLK!$G$4:$L$478,5,FALSE)&lt;&gt;"",VLOOKUP($F18,[1]VTLK!$G$4:$L$478,5,FALSE),"")</f>
        <v>#REF!</v>
      </c>
      <c r="J18" s="16" t="e">
        <f>IF(VLOOKUP($F18,[1]VTLK!$G$4:$L$478,6,FALSE)&lt;&gt;"",VLOOKUP($F18,[1]VTLK!$G$4:$L$478,6,FALSE),"-")</f>
        <v>#REF!</v>
      </c>
      <c r="K18" s="17">
        <v>2</v>
      </c>
      <c r="L18" s="11" t="s">
        <v>22</v>
      </c>
      <c r="M18" s="15" t="s">
        <v>55</v>
      </c>
      <c r="N18" s="18">
        <f>VLOOKUP(F18,[1]VTLK!$G$4:$P$478,10,FALSE)</f>
        <v>346295</v>
      </c>
      <c r="O18" s="18">
        <f t="shared" si="1"/>
        <v>692590</v>
      </c>
      <c r="P18" s="19" t="e">
        <f t="shared" si="2"/>
        <v>#REF!</v>
      </c>
      <c r="Q18" s="19" t="str">
        <f>VLOOKUP(F18,[2]PL1_BOTHU!$F$9:$V$522,17,FALSE)</f>
        <v>3~4W</v>
      </c>
      <c r="R18" s="20" t="s">
        <v>23</v>
      </c>
      <c r="S18" s="20">
        <v>1</v>
      </c>
      <c r="T18" s="20"/>
      <c r="U18" s="21" t="s">
        <v>24</v>
      </c>
      <c r="V18" s="23"/>
      <c r="W18" s="22" t="s">
        <v>25</v>
      </c>
    </row>
    <row r="19" spans="1:23" ht="30" x14ac:dyDescent="0.25">
      <c r="A19" s="11">
        <v>31</v>
      </c>
      <c r="B19" s="12" t="str">
        <f>IF(VLOOKUP($F19,[1]VTLK!$G$4:$H$478,2,FALSE)&lt;&gt;"",VLOOKUP($F19,[1]VTLK!$G$4:$H$478,2,FALSE),"")</f>
        <v>FILTER- SMD, Ceramic LOW pass filter DC to 3000MHz,   50Ohm</v>
      </c>
      <c r="C19" s="13" t="s">
        <v>37</v>
      </c>
      <c r="D19" s="14" t="str">
        <f t="shared" si="0"/>
        <v>FILTER- SMD</v>
      </c>
      <c r="E19" s="15" t="s">
        <v>21</v>
      </c>
      <c r="F19" s="15" t="s">
        <v>56</v>
      </c>
      <c r="G19" s="16" t="e">
        <f>IF(VLOOKUP($F19,[1]VTLK!$G$4:$L$478,3,FALSE)&lt;&gt;"",VLOOKUP($F19,[1]VTLK!$G$4:$L$478,3,FALSE),"")</f>
        <v>#REF!</v>
      </c>
      <c r="H19" s="16" t="e">
        <f>IF(VLOOKUP($F19,[1]VTLK!$G$4:$L$478,4,FALSE)&lt;&gt;"",VLOOKUP($F19,[1]VTLK!$G$4:$L$478,4,FALSE),"-")</f>
        <v>#REF!</v>
      </c>
      <c r="I19" s="16" t="e">
        <f>IF(VLOOKUP($F19,[1]VTLK!$G$4:$L$478,5,FALSE)&lt;&gt;"",VLOOKUP($F19,[1]VTLK!$G$4:$L$478,5,FALSE),"")</f>
        <v>#REF!</v>
      </c>
      <c r="J19" s="16" t="e">
        <f>IF(VLOOKUP($F19,[1]VTLK!$G$4:$L$478,6,FALSE)&lt;&gt;"",VLOOKUP($F19,[1]VTLK!$G$4:$L$478,6,FALSE),"-")</f>
        <v>#REF!</v>
      </c>
      <c r="K19" s="17">
        <v>4</v>
      </c>
      <c r="L19" s="11" t="s">
        <v>22</v>
      </c>
      <c r="M19" s="15" t="s">
        <v>57</v>
      </c>
      <c r="N19" s="18">
        <f>VLOOKUP(F19,[1]VTLK!$G$4:$P$478,10,FALSE)</f>
        <v>46081</v>
      </c>
      <c r="O19" s="18">
        <f t="shared" si="1"/>
        <v>184324</v>
      </c>
      <c r="P19" s="19" t="e">
        <f t="shared" si="2"/>
        <v>#REF!</v>
      </c>
      <c r="Q19" s="19" t="str">
        <f>VLOOKUP(F19,[2]PL1_BOTHU!$F$9:$V$522,17,FALSE)</f>
        <v>3~4W</v>
      </c>
      <c r="R19" s="20" t="s">
        <v>23</v>
      </c>
      <c r="S19" s="20">
        <v>1</v>
      </c>
      <c r="T19" s="20"/>
      <c r="U19" s="21" t="s">
        <v>24</v>
      </c>
      <c r="V19" s="23"/>
      <c r="W19" s="22" t="s">
        <v>25</v>
      </c>
    </row>
    <row r="20" spans="1:23" ht="30" x14ac:dyDescent="0.25">
      <c r="A20" s="11">
        <v>32</v>
      </c>
      <c r="B20" s="12" t="str">
        <f>IF(VLOOKUP($F20,[1]VTLK!$G$4:$H$478,2,FALSE)&lt;&gt;"",VLOOKUP($F20,[1]VTLK!$G$4:$H$478,2,FALSE),"")</f>
        <v>FILTER- SMD,  Ceramic High pass filter 1400 to 5000MHz, 50 Ohm</v>
      </c>
      <c r="C20" s="13" t="s">
        <v>37</v>
      </c>
      <c r="D20" s="14" t="str">
        <f t="shared" si="0"/>
        <v>FILTER- SMD</v>
      </c>
      <c r="E20" s="15" t="s">
        <v>21</v>
      </c>
      <c r="F20" s="15" t="s">
        <v>58</v>
      </c>
      <c r="G20" s="16" t="e">
        <f>IF(VLOOKUP($F20,[1]VTLK!$G$4:$L$478,3,FALSE)&lt;&gt;"",VLOOKUP($F20,[1]VTLK!$G$4:$L$478,3,FALSE),"")</f>
        <v>#REF!</v>
      </c>
      <c r="H20" s="16" t="e">
        <f>IF(VLOOKUP($F20,[1]VTLK!$G$4:$L$478,4,FALSE)&lt;&gt;"",VLOOKUP($F20,[1]VTLK!$G$4:$L$478,4,FALSE),"-")</f>
        <v>#REF!</v>
      </c>
      <c r="I20" s="16" t="e">
        <f>IF(VLOOKUP($F20,[1]VTLK!$G$4:$L$478,5,FALSE)&lt;&gt;"",VLOOKUP($F20,[1]VTLK!$G$4:$L$478,5,FALSE),"")</f>
        <v>#REF!</v>
      </c>
      <c r="J20" s="16" t="e">
        <f>IF(VLOOKUP($F20,[1]VTLK!$G$4:$L$478,6,FALSE)&lt;&gt;"",VLOOKUP($F20,[1]VTLK!$G$4:$L$478,6,FALSE),"-")</f>
        <v>#REF!</v>
      </c>
      <c r="K20" s="17">
        <v>2</v>
      </c>
      <c r="L20" s="11" t="s">
        <v>22</v>
      </c>
      <c r="M20" s="15" t="s">
        <v>59</v>
      </c>
      <c r="N20" s="18">
        <f>VLOOKUP(F20,[1]VTLK!$G$4:$P$478,10,FALSE)</f>
        <v>67895</v>
      </c>
      <c r="O20" s="18">
        <f t="shared" si="1"/>
        <v>135790</v>
      </c>
      <c r="P20" s="19" t="e">
        <f t="shared" si="2"/>
        <v>#REF!</v>
      </c>
      <c r="Q20" s="19" t="str">
        <f>VLOOKUP(F20,[2]PL1_BOTHU!$F$9:$V$522,17,FALSE)</f>
        <v>3~4W</v>
      </c>
      <c r="R20" s="20" t="s">
        <v>23</v>
      </c>
      <c r="S20" s="20">
        <v>1</v>
      </c>
      <c r="T20" s="20"/>
      <c r="U20" s="21" t="s">
        <v>24</v>
      </c>
      <c r="V20" s="23"/>
      <c r="W20" s="22" t="s">
        <v>25</v>
      </c>
    </row>
    <row r="21" spans="1:23" ht="30" x14ac:dyDescent="0.25">
      <c r="A21" s="11">
        <v>33</v>
      </c>
      <c r="B21" s="12" t="str">
        <f>IF(VLOOKUP($F21,[1]VTLK!$G$4:$H$478,2,FALSE)&lt;&gt;"",VLOOKUP($F21,[1]VTLK!$G$4:$H$478,2,FALSE),"")</f>
        <v>FILTER- SMD, Ceramic LOW pass filter DC to 1800MHz,  50Ohm</v>
      </c>
      <c r="C21" s="13" t="s">
        <v>37</v>
      </c>
      <c r="D21" s="14" t="str">
        <f t="shared" si="0"/>
        <v>FILTER- SMD</v>
      </c>
      <c r="E21" s="15" t="s">
        <v>21</v>
      </c>
      <c r="F21" s="15" t="s">
        <v>60</v>
      </c>
      <c r="G21" s="16" t="e">
        <f>IF(VLOOKUP($F21,[1]VTLK!$G$4:$L$478,3,FALSE)&lt;&gt;"",VLOOKUP($F21,[1]VTLK!$G$4:$L$478,3,FALSE),"")</f>
        <v>#REF!</v>
      </c>
      <c r="H21" s="16" t="e">
        <f>IF(VLOOKUP($F21,[1]VTLK!$G$4:$L$478,4,FALSE)&lt;&gt;"",VLOOKUP($F21,[1]VTLK!$G$4:$L$478,4,FALSE),"-")</f>
        <v>#REF!</v>
      </c>
      <c r="I21" s="16" t="e">
        <f>IF(VLOOKUP($F21,[1]VTLK!$G$4:$L$478,5,FALSE)&lt;&gt;"",VLOOKUP($F21,[1]VTLK!$G$4:$L$478,5,FALSE),"")</f>
        <v>#REF!</v>
      </c>
      <c r="J21" s="16" t="e">
        <f>IF(VLOOKUP($F21,[1]VTLK!$G$4:$L$478,6,FALSE)&lt;&gt;"",VLOOKUP($F21,[1]VTLK!$G$4:$L$478,6,FALSE),"-")</f>
        <v>#REF!</v>
      </c>
      <c r="K21" s="17">
        <v>2</v>
      </c>
      <c r="L21" s="11" t="s">
        <v>22</v>
      </c>
      <c r="M21" s="15" t="s">
        <v>61</v>
      </c>
      <c r="N21" s="18">
        <f>VLOOKUP(F21,[1]VTLK!$G$4:$P$478,10,FALSE)</f>
        <v>81528</v>
      </c>
      <c r="O21" s="18">
        <f t="shared" si="1"/>
        <v>163056</v>
      </c>
      <c r="P21" s="19" t="e">
        <f t="shared" si="2"/>
        <v>#REF!</v>
      </c>
      <c r="Q21" s="19" t="str">
        <f>VLOOKUP(F21,[2]PL1_BOTHU!$F$9:$V$522,17,FALSE)</f>
        <v>3~4W</v>
      </c>
      <c r="R21" s="20" t="s">
        <v>23</v>
      </c>
      <c r="S21" s="20">
        <v>1</v>
      </c>
      <c r="T21" s="20"/>
      <c r="U21" s="21" t="s">
        <v>24</v>
      </c>
      <c r="V21" s="23"/>
      <c r="W21" s="22" t="s">
        <v>25</v>
      </c>
    </row>
    <row r="22" spans="1:23" ht="30" x14ac:dyDescent="0.25">
      <c r="A22" s="11">
        <v>34</v>
      </c>
      <c r="B22" s="12" t="str">
        <f>IF(VLOOKUP($F22,[1]VTLK!$G$4:$H$478,2,FALSE)&lt;&gt;"",VLOOKUP($F22,[1]VTLK!$G$4:$H$478,2,FALSE),"")</f>
        <v>FILTER- SMD,  Ceramic High pass filter 1600 to 5500MHz,  50 Ohm</v>
      </c>
      <c r="C22" s="13" t="s">
        <v>37</v>
      </c>
      <c r="D22" s="14" t="str">
        <f t="shared" si="0"/>
        <v>FILTER- SMD</v>
      </c>
      <c r="E22" s="15" t="s">
        <v>21</v>
      </c>
      <c r="F22" s="15" t="s">
        <v>62</v>
      </c>
      <c r="G22" s="16" t="e">
        <f>IF(VLOOKUP($F22,[1]VTLK!$G$4:$L$478,3,FALSE)&lt;&gt;"",VLOOKUP($F22,[1]VTLK!$G$4:$L$478,3,FALSE),"")</f>
        <v>#REF!</v>
      </c>
      <c r="H22" s="16" t="e">
        <f>IF(VLOOKUP($F22,[1]VTLK!$G$4:$L$478,4,FALSE)&lt;&gt;"",VLOOKUP($F22,[1]VTLK!$G$4:$L$478,4,FALSE),"-")</f>
        <v>#REF!</v>
      </c>
      <c r="I22" s="16" t="e">
        <f>IF(VLOOKUP($F22,[1]VTLK!$G$4:$L$478,5,FALSE)&lt;&gt;"",VLOOKUP($F22,[1]VTLK!$G$4:$L$478,5,FALSE),"")</f>
        <v>#REF!</v>
      </c>
      <c r="J22" s="16" t="e">
        <f>IF(VLOOKUP($F22,[1]VTLK!$G$4:$L$478,6,FALSE)&lt;&gt;"",VLOOKUP($F22,[1]VTLK!$G$4:$L$478,6,FALSE),"-")</f>
        <v>#REF!</v>
      </c>
      <c r="K22" s="17">
        <v>2</v>
      </c>
      <c r="L22" s="11" t="s">
        <v>22</v>
      </c>
      <c r="M22" s="15" t="s">
        <v>63</v>
      </c>
      <c r="N22" s="18">
        <f>VLOOKUP(F22,[1]VTLK!$G$4:$P$478,10,FALSE)</f>
        <v>54263</v>
      </c>
      <c r="O22" s="18">
        <f t="shared" si="1"/>
        <v>108526</v>
      </c>
      <c r="P22" s="19" t="e">
        <f t="shared" si="2"/>
        <v>#REF!</v>
      </c>
      <c r="Q22" s="19" t="str">
        <f>VLOOKUP(F22,[2]PL1_BOTHU!$F$9:$V$522,17,FALSE)</f>
        <v>3~4W</v>
      </c>
      <c r="R22" s="20" t="s">
        <v>23</v>
      </c>
      <c r="S22" s="20">
        <v>1</v>
      </c>
      <c r="T22" s="20"/>
      <c r="U22" s="21" t="s">
        <v>24</v>
      </c>
      <c r="V22" s="23"/>
      <c r="W22" s="22" t="s">
        <v>25</v>
      </c>
    </row>
    <row r="23" spans="1:23" ht="30" x14ac:dyDescent="0.25">
      <c r="A23" s="11">
        <v>35</v>
      </c>
      <c r="B23" s="12" t="str">
        <f>IF(VLOOKUP($F23,[1]VTLK!$G$4:$H$478,2,FALSE)&lt;&gt;"",VLOOKUP($F23,[1]VTLK!$G$4:$H$478,2,FALSE),"")</f>
        <v>FILTER-SMD, Low pass filter DC to 2400MHz</v>
      </c>
      <c r="C23" s="13" t="s">
        <v>37</v>
      </c>
      <c r="D23" s="14" t="str">
        <f t="shared" si="0"/>
        <v>FILTER-SMD</v>
      </c>
      <c r="E23" s="15" t="s">
        <v>21</v>
      </c>
      <c r="F23" s="15" t="s">
        <v>64</v>
      </c>
      <c r="G23" s="16" t="e">
        <f>IF(VLOOKUP($F23,[1]VTLK!$G$4:$L$478,3,FALSE)&lt;&gt;"",VLOOKUP($F23,[1]VTLK!$G$4:$L$478,3,FALSE),"")</f>
        <v>#REF!</v>
      </c>
      <c r="H23" s="16" t="e">
        <f>IF(VLOOKUP($F23,[1]VTLK!$G$4:$L$478,4,FALSE)&lt;&gt;"",VLOOKUP($F23,[1]VTLK!$G$4:$L$478,4,FALSE),"-")</f>
        <v>#REF!</v>
      </c>
      <c r="I23" s="16" t="e">
        <f>IF(VLOOKUP($F23,[1]VTLK!$G$4:$L$478,5,FALSE)&lt;&gt;"",VLOOKUP($F23,[1]VTLK!$G$4:$L$478,5,FALSE),"")</f>
        <v>#REF!</v>
      </c>
      <c r="J23" s="16" t="e">
        <f>IF(VLOOKUP($F23,[1]VTLK!$G$4:$L$478,6,FALSE)&lt;&gt;"",VLOOKUP($F23,[1]VTLK!$G$4:$L$478,6,FALSE),"-")</f>
        <v>#REF!</v>
      </c>
      <c r="K23" s="17">
        <v>2</v>
      </c>
      <c r="L23" s="11" t="s">
        <v>22</v>
      </c>
      <c r="M23" s="15" t="s">
        <v>65</v>
      </c>
      <c r="N23" s="18">
        <f>VLOOKUP(F23,[1]VTLK!$G$4:$P$478,10,FALSE)</f>
        <v>46081</v>
      </c>
      <c r="O23" s="18">
        <f t="shared" si="1"/>
        <v>92162</v>
      </c>
      <c r="P23" s="19" t="e">
        <f t="shared" si="2"/>
        <v>#REF!</v>
      </c>
      <c r="Q23" s="19" t="str">
        <f>VLOOKUP(F23,[2]PL1_BOTHU!$F$9:$V$522,17,FALSE)</f>
        <v>3~4W</v>
      </c>
      <c r="R23" s="20" t="s">
        <v>23</v>
      </c>
      <c r="S23" s="20">
        <v>1</v>
      </c>
      <c r="T23" s="20"/>
      <c r="U23" s="21" t="s">
        <v>24</v>
      </c>
      <c r="V23" s="23"/>
      <c r="W23" s="22" t="s">
        <v>25</v>
      </c>
    </row>
    <row r="24" spans="1:23" ht="30" x14ac:dyDescent="0.25">
      <c r="A24" s="11">
        <v>36</v>
      </c>
      <c r="B24" s="12" t="str">
        <f>IF(VLOOKUP($F24,[1]VTLK!$G$4:$H$478,2,FALSE)&lt;&gt;"",VLOOKUP($F24,[1]VTLK!$G$4:$H$478,2,FALSE),"")</f>
        <v>FILTER- SMD,  Ceramic High pass filter 2260 to 6250MHz , 50 Ohm</v>
      </c>
      <c r="C24" s="13" t="s">
        <v>37</v>
      </c>
      <c r="D24" s="14" t="str">
        <f t="shared" si="0"/>
        <v>FILTER- SMD</v>
      </c>
      <c r="E24" s="15" t="s">
        <v>21</v>
      </c>
      <c r="F24" s="15" t="s">
        <v>66</v>
      </c>
      <c r="G24" s="16" t="e">
        <f>IF(VLOOKUP($F24,[1]VTLK!$G$4:$L$478,3,FALSE)&lt;&gt;"",VLOOKUP($F24,[1]VTLK!$G$4:$L$478,3,FALSE),"")</f>
        <v>#REF!</v>
      </c>
      <c r="H24" s="16" t="e">
        <f>IF(VLOOKUP($F24,[1]VTLK!$G$4:$L$478,4,FALSE)&lt;&gt;"",VLOOKUP($F24,[1]VTLK!$G$4:$L$478,4,FALSE),"-")</f>
        <v>#REF!</v>
      </c>
      <c r="I24" s="16" t="e">
        <f>IF(VLOOKUP($F24,[1]VTLK!$G$4:$L$478,5,FALSE)&lt;&gt;"",VLOOKUP($F24,[1]VTLK!$G$4:$L$478,5,FALSE),"")</f>
        <v>#REF!</v>
      </c>
      <c r="J24" s="16" t="e">
        <f>IF(VLOOKUP($F24,[1]VTLK!$G$4:$L$478,6,FALSE)&lt;&gt;"",VLOOKUP($F24,[1]VTLK!$G$4:$L$478,6,FALSE),"-")</f>
        <v>#REF!</v>
      </c>
      <c r="K24" s="17">
        <v>2</v>
      </c>
      <c r="L24" s="11" t="s">
        <v>22</v>
      </c>
      <c r="M24" s="15" t="s">
        <v>67</v>
      </c>
      <c r="N24" s="18">
        <f>VLOOKUP(F24,[1]VTLK!$G$4:$P$478,10,FALSE)</f>
        <v>54263</v>
      </c>
      <c r="O24" s="18">
        <f t="shared" si="1"/>
        <v>108526</v>
      </c>
      <c r="P24" s="19" t="e">
        <f t="shared" si="2"/>
        <v>#REF!</v>
      </c>
      <c r="Q24" s="19" t="str">
        <f>VLOOKUP(F24,[2]PL1_BOTHU!$F$9:$V$522,17,FALSE)</f>
        <v>2~4W</v>
      </c>
      <c r="R24" s="20" t="s">
        <v>23</v>
      </c>
      <c r="S24" s="20">
        <v>1</v>
      </c>
      <c r="T24" s="20"/>
      <c r="U24" s="21" t="s">
        <v>24</v>
      </c>
      <c r="V24" s="23"/>
      <c r="W24" s="22" t="s">
        <v>25</v>
      </c>
    </row>
    <row r="25" spans="1:23" ht="30" x14ac:dyDescent="0.25">
      <c r="A25" s="11">
        <v>37</v>
      </c>
      <c r="B25" s="12" t="str">
        <f>IF(VLOOKUP($F25,[1]VTLK!$G$4:$H$478,2,FALSE)&lt;&gt;"",VLOOKUP($F25,[1]VTLK!$G$4:$H$478,2,FALSE),"")</f>
        <v>FILTER- SMD,  Ceramic High pass filter 950 to 3200MHz 50 Ohm</v>
      </c>
      <c r="C25" s="13" t="s">
        <v>37</v>
      </c>
      <c r="D25" s="14" t="str">
        <f t="shared" si="0"/>
        <v>FILTER- SMD</v>
      </c>
      <c r="E25" s="15" t="s">
        <v>21</v>
      </c>
      <c r="F25" s="15" t="s">
        <v>68</v>
      </c>
      <c r="G25" s="16" t="e">
        <f>IF(VLOOKUP($F25,[1]VTLK!$G$4:$L$478,3,FALSE)&lt;&gt;"",VLOOKUP($F25,[1]VTLK!$G$4:$L$478,3,FALSE),"")</f>
        <v>#REF!</v>
      </c>
      <c r="H25" s="16" t="e">
        <f>IF(VLOOKUP($F25,[1]VTLK!$G$4:$L$478,4,FALSE)&lt;&gt;"",VLOOKUP($F25,[1]VTLK!$G$4:$L$478,4,FALSE),"-")</f>
        <v>#REF!</v>
      </c>
      <c r="I25" s="16" t="e">
        <f>IF(VLOOKUP($F25,[1]VTLK!$G$4:$L$478,5,FALSE)&lt;&gt;"",VLOOKUP($F25,[1]VTLK!$G$4:$L$478,5,FALSE),"")</f>
        <v>#REF!</v>
      </c>
      <c r="J25" s="16" t="e">
        <f>IF(VLOOKUP($F25,[1]VTLK!$G$4:$L$478,6,FALSE)&lt;&gt;"",VLOOKUP($F25,[1]VTLK!$G$4:$L$478,6,FALSE),"-")</f>
        <v>#REF!</v>
      </c>
      <c r="K25" s="17">
        <v>1</v>
      </c>
      <c r="L25" s="11" t="s">
        <v>22</v>
      </c>
      <c r="M25" s="15" t="s">
        <v>69</v>
      </c>
      <c r="N25" s="18">
        <f>VLOOKUP(F25,[1]VTLK!$G$4:$P$478,10,FALSE)</f>
        <v>54263</v>
      </c>
      <c r="O25" s="18">
        <f t="shared" si="1"/>
        <v>54263</v>
      </c>
      <c r="P25" s="19" t="e">
        <f t="shared" si="2"/>
        <v>#REF!</v>
      </c>
      <c r="Q25" s="19" t="str">
        <f>VLOOKUP(F25,[2]PL1_BOTHU!$F$9:$V$522,17,FALSE)</f>
        <v>2~4W</v>
      </c>
      <c r="R25" s="20" t="s">
        <v>23</v>
      </c>
      <c r="S25" s="20">
        <v>1</v>
      </c>
      <c r="T25" s="20"/>
      <c r="U25" s="21" t="s">
        <v>24</v>
      </c>
      <c r="V25" s="23"/>
      <c r="W25" s="22" t="s">
        <v>25</v>
      </c>
    </row>
    <row r="26" spans="1:23" ht="30" x14ac:dyDescent="0.25">
      <c r="A26" s="11">
        <v>38</v>
      </c>
      <c r="B26" s="12" t="str">
        <f>IF(VLOOKUP($F26,[1]VTLK!$G$4:$H$478,2,FALSE)&lt;&gt;"",VLOOKUP($F26,[1]VTLK!$G$4:$H$478,2,FALSE),"")</f>
        <v>FILTER- SMD, Ceramic LOW pass filter DC to 6000MHz,  50Ohm</v>
      </c>
      <c r="C26" s="13" t="s">
        <v>37</v>
      </c>
      <c r="D26" s="14" t="str">
        <f t="shared" si="0"/>
        <v>FILTER- SMD</v>
      </c>
      <c r="E26" s="15" t="s">
        <v>21</v>
      </c>
      <c r="F26" s="15" t="s">
        <v>70</v>
      </c>
      <c r="G26" s="16" t="e">
        <f>IF(VLOOKUP($F26,[1]VTLK!$G$4:$L$478,3,FALSE)&lt;&gt;"",VLOOKUP($F26,[1]VTLK!$G$4:$L$478,3,FALSE),"")</f>
        <v>#REF!</v>
      </c>
      <c r="H26" s="16" t="e">
        <f>IF(VLOOKUP($F26,[1]VTLK!$G$4:$L$478,4,FALSE)&lt;&gt;"",VLOOKUP($F26,[1]VTLK!$G$4:$L$478,4,FALSE),"-")</f>
        <v>#REF!</v>
      </c>
      <c r="I26" s="16" t="e">
        <f>IF(VLOOKUP($F26,[1]VTLK!$G$4:$L$478,5,FALSE)&lt;&gt;"",VLOOKUP($F26,[1]VTLK!$G$4:$L$478,5,FALSE),"")</f>
        <v>#REF!</v>
      </c>
      <c r="J26" s="16" t="e">
        <f>IF(VLOOKUP($F26,[1]VTLK!$G$4:$L$478,6,FALSE)&lt;&gt;"",VLOOKUP($F26,[1]VTLK!$G$4:$L$478,6,FALSE),"-")</f>
        <v>#REF!</v>
      </c>
      <c r="K26" s="17">
        <v>2</v>
      </c>
      <c r="L26" s="11" t="s">
        <v>22</v>
      </c>
      <c r="M26" s="15" t="s">
        <v>71</v>
      </c>
      <c r="N26" s="18">
        <f>VLOOKUP(F26,[1]VTLK!$G$4:$P$478,10,FALSE)</f>
        <v>54263</v>
      </c>
      <c r="O26" s="18">
        <f t="shared" si="1"/>
        <v>108526</v>
      </c>
      <c r="P26" s="19" t="e">
        <f t="shared" si="2"/>
        <v>#REF!</v>
      </c>
      <c r="Q26" s="19" t="str">
        <f>VLOOKUP(F26,[2]PL1_BOTHU!$F$9:$V$522,17,FALSE)</f>
        <v>3~4W</v>
      </c>
      <c r="R26" s="20" t="s">
        <v>23</v>
      </c>
      <c r="S26" s="20">
        <v>1</v>
      </c>
      <c r="T26" s="20"/>
      <c r="U26" s="21" t="s">
        <v>24</v>
      </c>
      <c r="V26" s="23"/>
      <c r="W26" s="22" t="s">
        <v>25</v>
      </c>
    </row>
    <row r="27" spans="1:23" ht="21" x14ac:dyDescent="0.25">
      <c r="A27" s="11">
        <v>39</v>
      </c>
      <c r="B27" s="12" t="str">
        <f>IF(VLOOKUP($F27,[1]VTLK!$G$4:$H$478,2,FALSE)&lt;&gt;"",VLOOKUP($F27,[1]VTLK!$G$4:$H$478,2,FALSE),"")</f>
        <v>FB, 330 Ohms @ 100MHz , 1.2A , 0603 1LN</v>
      </c>
      <c r="C27" s="13" t="s">
        <v>72</v>
      </c>
      <c r="D27" s="14" t="str">
        <f t="shared" si="0"/>
        <v>FB</v>
      </c>
      <c r="E27" s="15" t="s">
        <v>27</v>
      </c>
      <c r="F27" s="15" t="s">
        <v>73</v>
      </c>
      <c r="G27" s="16" t="e">
        <f>IF(VLOOKUP($F27,[1]VTLK!$G$4:$L$478,3,FALSE)&lt;&gt;"",VLOOKUP($F27,[1]VTLK!$G$4:$L$478,3,FALSE),"")</f>
        <v>#REF!</v>
      </c>
      <c r="H27" s="16" t="e">
        <f>IF(VLOOKUP($F27,[1]VTLK!$G$4:$L$478,4,FALSE)&lt;&gt;"",VLOOKUP($F27,[1]VTLK!$G$4:$L$478,4,FALSE),"-")</f>
        <v>#REF!</v>
      </c>
      <c r="I27" s="16" t="e">
        <f>IF(VLOOKUP($F27,[1]VTLK!$G$4:$L$478,5,FALSE)&lt;&gt;"",VLOOKUP($F27,[1]VTLK!$G$4:$L$478,5,FALSE),"")</f>
        <v>#REF!</v>
      </c>
      <c r="J27" s="16" t="e">
        <f>IF(VLOOKUP($F27,[1]VTLK!$G$4:$L$478,6,FALSE)&lt;&gt;"",VLOOKUP($F27,[1]VTLK!$G$4:$L$478,6,FALSE),"-")</f>
        <v>#REF!</v>
      </c>
      <c r="K27" s="17">
        <v>12</v>
      </c>
      <c r="L27" s="11" t="s">
        <v>22</v>
      </c>
      <c r="M27" s="15" t="s">
        <v>74</v>
      </c>
      <c r="N27" s="18">
        <f>VLOOKUP(F27,[1]VTLK!$G$4:$P$478,10,FALSE)</f>
        <v>2086.1999999999998</v>
      </c>
      <c r="O27" s="18">
        <f t="shared" si="1"/>
        <v>25034.399999999998</v>
      </c>
      <c r="P27" s="19" t="e">
        <f t="shared" si="2"/>
        <v>#REF!</v>
      </c>
      <c r="Q27" s="19" t="str">
        <f>VLOOKUP(F27,[2]PL1_BOTHU!$F$9:$V$522,17,FALSE)</f>
        <v>2~4W</v>
      </c>
      <c r="R27" s="20" t="s">
        <v>28</v>
      </c>
      <c r="S27" s="20">
        <v>1</v>
      </c>
      <c r="T27" s="20"/>
      <c r="U27" s="21" t="s">
        <v>24</v>
      </c>
      <c r="V27" s="23"/>
      <c r="W27" s="22" t="s">
        <v>29</v>
      </c>
    </row>
    <row r="28" spans="1:23" ht="30" x14ac:dyDescent="0.25">
      <c r="A28" s="11">
        <v>40</v>
      </c>
      <c r="B28" s="12" t="str">
        <f>IF(VLOOKUP($F28,[1]VTLK!$G$4:$H$478,2,FALSE)&lt;&gt;"",VLOOKUP($F28,[1]VTLK!$G$4:$H$478,2,FALSE),"")</f>
        <v xml:space="preserve">FILTER-SMD,CAP FEEDTHRU 1UF 20% 16V, 0805 </v>
      </c>
      <c r="C28" s="13" t="s">
        <v>72</v>
      </c>
      <c r="D28" s="14" t="str">
        <f t="shared" si="0"/>
        <v>FILTER-SMD</v>
      </c>
      <c r="E28" s="15" t="s">
        <v>27</v>
      </c>
      <c r="F28" s="15" t="s">
        <v>75</v>
      </c>
      <c r="G28" s="16" t="e">
        <f>IF(VLOOKUP($F28,[1]VTLK!$G$4:$L$478,3,FALSE)&lt;&gt;"",VLOOKUP($F28,[1]VTLK!$G$4:$L$478,3,FALSE),"")</f>
        <v>#REF!</v>
      </c>
      <c r="H28" s="16" t="e">
        <f>IF(VLOOKUP($F28,[1]VTLK!$G$4:$L$478,4,FALSE)&lt;&gt;"",VLOOKUP($F28,[1]VTLK!$G$4:$L$478,4,FALSE),"-")</f>
        <v>#REF!</v>
      </c>
      <c r="I28" s="16" t="e">
        <f>IF(VLOOKUP($F28,[1]VTLK!$G$4:$L$478,5,FALSE)&lt;&gt;"",VLOOKUP($F28,[1]VTLK!$G$4:$L$478,5,FALSE),"")</f>
        <v>#REF!</v>
      </c>
      <c r="J28" s="16" t="e">
        <f>IF(VLOOKUP($F28,[1]VTLK!$G$4:$L$478,6,FALSE)&lt;&gt;"",VLOOKUP($F28,[1]VTLK!$G$4:$L$478,6,FALSE),"-")</f>
        <v>#REF!</v>
      </c>
      <c r="K28" s="17">
        <v>7</v>
      </c>
      <c r="L28" s="11" t="s">
        <v>22</v>
      </c>
      <c r="M28" s="15" t="s">
        <v>76</v>
      </c>
      <c r="N28" s="18">
        <f>VLOOKUP(F28,[1]VTLK!$G$4:$P$478,10,FALSE)</f>
        <v>6148.8</v>
      </c>
      <c r="O28" s="18">
        <f t="shared" si="1"/>
        <v>43041.599999999999</v>
      </c>
      <c r="P28" s="19" t="e">
        <f t="shared" si="2"/>
        <v>#REF!</v>
      </c>
      <c r="Q28" s="19" t="str">
        <f>VLOOKUP(F28,[2]PL1_BOTHU!$F$9:$V$522,17,FALSE)</f>
        <v>2W</v>
      </c>
      <c r="R28" s="20" t="s">
        <v>28</v>
      </c>
      <c r="S28" s="20">
        <v>1</v>
      </c>
      <c r="T28" s="20"/>
      <c r="U28" s="21" t="s">
        <v>24</v>
      </c>
      <c r="V28" s="23"/>
      <c r="W28" s="22" t="s">
        <v>29</v>
      </c>
    </row>
    <row r="29" spans="1:23" ht="30" x14ac:dyDescent="0.25">
      <c r="A29" s="11">
        <v>41</v>
      </c>
      <c r="B29" s="12" t="str">
        <f>IF(VLOOKUP($F29,[1]VTLK!$G$4:$H$478,2,FALSE)&lt;&gt;"",VLOOKUP($F29,[1]VTLK!$G$4:$H$478,2,FALSE),"")</f>
        <v xml:space="preserve">IND-SMD, FIX IND 560 nH ,  5 % ,1008  , 400mA ,   1.33 Ohms </v>
      </c>
      <c r="C29" s="13" t="s">
        <v>77</v>
      </c>
      <c r="D29" s="14" t="str">
        <f t="shared" si="0"/>
        <v>IND-SMD</v>
      </c>
      <c r="E29" s="15" t="s">
        <v>27</v>
      </c>
      <c r="F29" s="15" t="s">
        <v>78</v>
      </c>
      <c r="G29" s="16" t="e">
        <f>IF(VLOOKUP($F29,[1]VTLK!$G$4:$L$478,3,FALSE)&lt;&gt;"",VLOOKUP($F29,[1]VTLK!$G$4:$L$478,3,FALSE),"")</f>
        <v>#REF!</v>
      </c>
      <c r="H29" s="16" t="e">
        <f>IF(VLOOKUP($F29,[1]VTLK!$G$4:$L$478,4,FALSE)&lt;&gt;"",VLOOKUP($F29,[1]VTLK!$G$4:$L$478,4,FALSE),"-")</f>
        <v>#REF!</v>
      </c>
      <c r="I29" s="16" t="e">
        <f>IF(VLOOKUP($F29,[1]VTLK!$G$4:$L$478,5,FALSE)&lt;&gt;"",VLOOKUP($F29,[1]VTLK!$G$4:$L$478,5,FALSE),"")</f>
        <v>#REF!</v>
      </c>
      <c r="J29" s="16" t="e">
        <f>IF(VLOOKUP($F29,[1]VTLK!$G$4:$L$478,6,FALSE)&lt;&gt;"",VLOOKUP($F29,[1]VTLK!$G$4:$L$478,6,FALSE),"-")</f>
        <v>#REF!</v>
      </c>
      <c r="K29" s="17">
        <v>2</v>
      </c>
      <c r="L29" s="11" t="s">
        <v>22</v>
      </c>
      <c r="M29" s="15" t="s">
        <v>79</v>
      </c>
      <c r="N29" s="18">
        <f>VLOOKUP(F29,[1]VTLK!$G$4:$P$478,10,FALSE)</f>
        <v>6313.5</v>
      </c>
      <c r="O29" s="18">
        <f t="shared" si="1"/>
        <v>12627</v>
      </c>
      <c r="P29" s="19" t="e">
        <f t="shared" si="2"/>
        <v>#REF!</v>
      </c>
      <c r="Q29" s="19" t="str">
        <f>VLOOKUP(F29,[2]PL1_BOTHU!$F$9:$V$522,17,FALSE)</f>
        <v>2W</v>
      </c>
      <c r="R29" s="20" t="s">
        <v>23</v>
      </c>
      <c r="S29" s="20">
        <v>1</v>
      </c>
      <c r="T29" s="20"/>
      <c r="U29" s="21" t="s">
        <v>24</v>
      </c>
      <c r="V29" s="23"/>
      <c r="W29" s="22" t="s">
        <v>25</v>
      </c>
    </row>
    <row r="30" spans="1:23" ht="30" x14ac:dyDescent="0.25">
      <c r="A30" s="11">
        <v>42</v>
      </c>
      <c r="B30" s="12" t="str">
        <f>IF(VLOOKUP($F30,[1]VTLK!$G$4:$H$478,2,FALSE)&lt;&gt;"",VLOOKUP($F30,[1]VTLK!$G$4:$H$478,2,FALSE),"")</f>
        <v xml:space="preserve">IND-SMD, FIX IND 220 nH ,  5 % , 1008 , 500 mA  ,   840 mOhms </v>
      </c>
      <c r="C30" s="13" t="s">
        <v>77</v>
      </c>
      <c r="D30" s="14" t="str">
        <f t="shared" si="0"/>
        <v>IND-SMD</v>
      </c>
      <c r="E30" s="15" t="s">
        <v>27</v>
      </c>
      <c r="F30" s="15" t="s">
        <v>80</v>
      </c>
      <c r="G30" s="16" t="e">
        <f>IF(VLOOKUP($F30,[1]VTLK!$G$4:$L$478,3,FALSE)&lt;&gt;"",VLOOKUP($F30,[1]VTLK!$G$4:$L$478,3,FALSE),"")</f>
        <v>#REF!</v>
      </c>
      <c r="H30" s="16" t="e">
        <f>IF(VLOOKUP($F30,[1]VTLK!$G$4:$L$478,4,FALSE)&lt;&gt;"",VLOOKUP($F30,[1]VTLK!$G$4:$L$478,4,FALSE),"-")</f>
        <v>#REF!</v>
      </c>
      <c r="I30" s="16" t="e">
        <f>IF(VLOOKUP($F30,[1]VTLK!$G$4:$L$478,5,FALSE)&lt;&gt;"",VLOOKUP($F30,[1]VTLK!$G$4:$L$478,5,FALSE),"")</f>
        <v>#REF!</v>
      </c>
      <c r="J30" s="16" t="e">
        <f>IF(VLOOKUP($F30,[1]VTLK!$G$4:$L$478,6,FALSE)&lt;&gt;"",VLOOKUP($F30,[1]VTLK!$G$4:$L$478,6,FALSE),"-")</f>
        <v>#REF!</v>
      </c>
      <c r="K30" s="17">
        <v>2</v>
      </c>
      <c r="L30" s="11" t="s">
        <v>22</v>
      </c>
      <c r="M30" s="15" t="s">
        <v>81</v>
      </c>
      <c r="N30" s="18">
        <f>VLOOKUP(F30,[1]VTLK!$G$4:$P$478,10,FALSE)</f>
        <v>6313.5</v>
      </c>
      <c r="O30" s="18">
        <f t="shared" si="1"/>
        <v>12627</v>
      </c>
      <c r="P30" s="19" t="e">
        <f t="shared" si="2"/>
        <v>#REF!</v>
      </c>
      <c r="Q30" s="19" t="str">
        <f>VLOOKUP(F30,[2]PL1_BOTHU!$F$9:$V$522,17,FALSE)</f>
        <v>2W</v>
      </c>
      <c r="R30" s="20" t="s">
        <v>23</v>
      </c>
      <c r="S30" s="20">
        <v>1</v>
      </c>
      <c r="T30" s="20"/>
      <c r="U30" s="21" t="s">
        <v>24</v>
      </c>
      <c r="V30" s="23"/>
      <c r="W30" s="22" t="s">
        <v>25</v>
      </c>
    </row>
    <row r="31" spans="1:23" ht="30" x14ac:dyDescent="0.25">
      <c r="A31" s="11">
        <v>43</v>
      </c>
      <c r="B31" s="12" t="str">
        <f>IF(VLOOKUP($F31,[1]VTLK!$G$4:$H$478,2,FALSE)&lt;&gt;"",VLOOKUP($F31,[1]VTLK!$G$4:$H$478,2,FALSE),"")</f>
        <v>IND-SMD, FIX IND 47 nH ,  42% ,0603 , 680mA ,   240 mOHMs</v>
      </c>
      <c r="C31" s="13" t="s">
        <v>77</v>
      </c>
      <c r="D31" s="14" t="str">
        <f t="shared" si="0"/>
        <v>IND-SMD</v>
      </c>
      <c r="E31" s="15" t="s">
        <v>82</v>
      </c>
      <c r="F31" s="15" t="s">
        <v>83</v>
      </c>
      <c r="G31" s="16" t="e">
        <f>IF(VLOOKUP($F31,[1]VTLK!$G$4:$L$478,3,FALSE)&lt;&gt;"",VLOOKUP($F31,[1]VTLK!$G$4:$L$478,3,FALSE),"")</f>
        <v>#REF!</v>
      </c>
      <c r="H31" s="16" t="e">
        <f>IF(VLOOKUP($F31,[1]VTLK!$G$4:$L$478,4,FALSE)&lt;&gt;"",VLOOKUP($F31,[1]VTLK!$G$4:$L$478,4,FALSE),"-")</f>
        <v>#REF!</v>
      </c>
      <c r="I31" s="16" t="e">
        <f>IF(VLOOKUP($F31,[1]VTLK!$G$4:$L$478,5,FALSE)&lt;&gt;"",VLOOKUP($F31,[1]VTLK!$G$4:$L$478,5,FALSE),"")</f>
        <v>#REF!</v>
      </c>
      <c r="J31" s="16" t="e">
        <f>IF(VLOOKUP($F31,[1]VTLK!$G$4:$L$478,6,FALSE)&lt;&gt;"",VLOOKUP($F31,[1]VTLK!$G$4:$L$478,6,FALSE),"-")</f>
        <v>#REF!</v>
      </c>
      <c r="K31" s="17">
        <v>3</v>
      </c>
      <c r="L31" s="11" t="s">
        <v>22</v>
      </c>
      <c r="M31" s="15" t="s">
        <v>84</v>
      </c>
      <c r="N31" s="18">
        <f>VLOOKUP(F31,[1]VTLK!$G$4:$P$478,10,FALSE)</f>
        <v>38429.999999999993</v>
      </c>
      <c r="O31" s="18">
        <f t="shared" si="1"/>
        <v>115289.99999999997</v>
      </c>
      <c r="P31" s="19" t="e">
        <f t="shared" si="2"/>
        <v>#REF!</v>
      </c>
      <c r="Q31" s="19" t="str">
        <f>VLOOKUP(F31,[2]PL1_BOTHU!$F$9:$V$522,17,FALSE)</f>
        <v>2~4W</v>
      </c>
      <c r="R31" s="20" t="s">
        <v>23</v>
      </c>
      <c r="S31" s="20">
        <v>1</v>
      </c>
      <c r="T31" s="20"/>
      <c r="U31" s="21" t="s">
        <v>24</v>
      </c>
      <c r="V31" s="23"/>
      <c r="W31" s="22" t="s">
        <v>25</v>
      </c>
    </row>
    <row r="32" spans="1:23" ht="30" x14ac:dyDescent="0.25">
      <c r="A32" s="11">
        <v>44</v>
      </c>
      <c r="B32" s="12" t="str">
        <f>IF(VLOOKUP($F32,[1]VTLK!$G$4:$H$478,2,FALSE)&lt;&gt;"",VLOOKUP($F32,[1]VTLK!$G$4:$H$478,2,FALSE),"")</f>
        <v>IND-SMD, FIX IND 47 nH ,  ±5%  ,0603, 400mA ,   400 MOHMs</v>
      </c>
      <c r="C32" s="13" t="s">
        <v>77</v>
      </c>
      <c r="D32" s="14" t="str">
        <f t="shared" si="0"/>
        <v>IND-SMD</v>
      </c>
      <c r="E32" s="15" t="s">
        <v>85</v>
      </c>
      <c r="F32" s="15" t="s">
        <v>86</v>
      </c>
      <c r="G32" s="16" t="e">
        <f>IF(VLOOKUP($F32,[1]VTLK!$G$4:$L$478,3,FALSE)&lt;&gt;"",VLOOKUP($F32,[1]VTLK!$G$4:$L$478,3,FALSE),"")</f>
        <v>#REF!</v>
      </c>
      <c r="H32" s="16" t="e">
        <f>IF(VLOOKUP($F32,[1]VTLK!$G$4:$L$478,4,FALSE)&lt;&gt;"",VLOOKUP($F32,[1]VTLK!$G$4:$L$478,4,FALSE),"-")</f>
        <v>#REF!</v>
      </c>
      <c r="I32" s="16" t="e">
        <f>IF(VLOOKUP($F32,[1]VTLK!$G$4:$L$478,5,FALSE)&lt;&gt;"",VLOOKUP($F32,[1]VTLK!$G$4:$L$478,5,FALSE),"")</f>
        <v>#REF!</v>
      </c>
      <c r="J32" s="16" t="e">
        <f>IF(VLOOKUP($F32,[1]VTLK!$G$4:$L$478,6,FALSE)&lt;&gt;"",VLOOKUP($F32,[1]VTLK!$G$4:$L$478,6,FALSE),"-")</f>
        <v>#REF!</v>
      </c>
      <c r="K32" s="17">
        <v>3</v>
      </c>
      <c r="L32" s="11" t="s">
        <v>22</v>
      </c>
      <c r="M32" s="15" t="s">
        <v>87</v>
      </c>
      <c r="N32" s="18">
        <f>VLOOKUP(F32,[1]VTLK!$G$4:$P$478,10,FALSE)</f>
        <v>5078.25</v>
      </c>
      <c r="O32" s="18">
        <f t="shared" si="1"/>
        <v>15234.75</v>
      </c>
      <c r="P32" s="19" t="e">
        <f t="shared" si="2"/>
        <v>#REF!</v>
      </c>
      <c r="Q32" s="19" t="str">
        <f>VLOOKUP(F32,[2]PL1_BOTHU!$F$9:$V$522,17,FALSE)</f>
        <v>2~4W</v>
      </c>
      <c r="R32" s="20" t="s">
        <v>23</v>
      </c>
      <c r="S32" s="20">
        <v>1</v>
      </c>
      <c r="T32" s="20"/>
      <c r="U32" s="21" t="s">
        <v>24</v>
      </c>
      <c r="V32" s="23"/>
      <c r="W32" s="22" t="s">
        <v>25</v>
      </c>
    </row>
    <row r="33" spans="1:23" ht="30" x14ac:dyDescent="0.25">
      <c r="A33" s="11">
        <v>45</v>
      </c>
      <c r="B33" s="12" t="str">
        <f>IF(VLOOKUP($F33,[1]VTLK!$G$4:$H$478,2,FALSE)&lt;&gt;"",VLOOKUP($F33,[1]VTLK!$G$4:$H$478,2,FALSE),"")</f>
        <v xml:space="preserve">IND-SMD, Fix IND 600 nH  ,  5 % , 0402, 130 mA ,3.78 Ohms </v>
      </c>
      <c r="C33" s="13" t="s">
        <v>77</v>
      </c>
      <c r="D33" s="14" t="str">
        <f t="shared" si="0"/>
        <v>IND-SMD</v>
      </c>
      <c r="E33" s="15" t="s">
        <v>82</v>
      </c>
      <c r="F33" s="15" t="s">
        <v>88</v>
      </c>
      <c r="G33" s="16" t="e">
        <f>IF(VLOOKUP($F33,[1]VTLK!$G$4:$L$478,3,FALSE)&lt;&gt;"",VLOOKUP($F33,[1]VTLK!$G$4:$L$478,3,FALSE),"")</f>
        <v>#REF!</v>
      </c>
      <c r="H33" s="16" t="e">
        <f>IF(VLOOKUP($F33,[1]VTLK!$G$4:$L$478,4,FALSE)&lt;&gt;"",VLOOKUP($F33,[1]VTLK!$G$4:$L$478,4,FALSE),"-")</f>
        <v>#REF!</v>
      </c>
      <c r="I33" s="16" t="e">
        <f>IF(VLOOKUP($F33,[1]VTLK!$G$4:$L$478,5,FALSE)&lt;&gt;"",VLOOKUP($F33,[1]VTLK!$G$4:$L$478,5,FALSE),"")</f>
        <v>#REF!</v>
      </c>
      <c r="J33" s="16" t="e">
        <f>IF(VLOOKUP($F33,[1]VTLK!$G$4:$L$478,6,FALSE)&lt;&gt;"",VLOOKUP($F33,[1]VTLK!$G$4:$L$478,6,FALSE),"-")</f>
        <v>#REF!</v>
      </c>
      <c r="K33" s="17">
        <v>2</v>
      </c>
      <c r="L33" s="11" t="s">
        <v>22</v>
      </c>
      <c r="M33" s="15" t="s">
        <v>89</v>
      </c>
      <c r="N33" s="18">
        <f>VLOOKUP(F33,[1]VTLK!$G$4:$P$478,10,FALSE)</f>
        <v>35136</v>
      </c>
      <c r="O33" s="18">
        <f t="shared" si="1"/>
        <v>70272</v>
      </c>
      <c r="P33" s="19" t="e">
        <f t="shared" si="2"/>
        <v>#REF!</v>
      </c>
      <c r="Q33" s="19" t="str">
        <f>VLOOKUP(F33,[2]PL1_BOTHU!$F$9:$V$522,17,FALSE)</f>
        <v>2~4W</v>
      </c>
      <c r="R33" s="20" t="s">
        <v>23</v>
      </c>
      <c r="S33" s="20">
        <v>1</v>
      </c>
      <c r="T33" s="20"/>
      <c r="U33" s="21" t="s">
        <v>24</v>
      </c>
      <c r="V33" s="23"/>
      <c r="W33" s="22" t="s">
        <v>25</v>
      </c>
    </row>
    <row r="34" spans="1:23" ht="30" x14ac:dyDescent="0.25">
      <c r="A34" s="11">
        <v>46</v>
      </c>
      <c r="B34" s="12" t="str">
        <f>IF(VLOOKUP($F34,[1]VTLK!$G$4:$H$478,2,FALSE)&lt;&gt;"",VLOOKUP($F34,[1]VTLK!$G$4:$H$478,2,FALSE),"")</f>
        <v xml:space="preserve">CON-DIP, CONN SMA JACK STR 50 OHM PCB </v>
      </c>
      <c r="C34" s="42" t="s">
        <v>90</v>
      </c>
      <c r="D34" s="14" t="str">
        <f t="shared" si="0"/>
        <v>CON-DIP</v>
      </c>
      <c r="E34" s="15" t="s">
        <v>91</v>
      </c>
      <c r="F34" s="15" t="s">
        <v>92</v>
      </c>
      <c r="G34" s="16" t="e">
        <f>IF(VLOOKUP($F34,[1]VTLK!$G$4:$L$478,3,FALSE)&lt;&gt;"",VLOOKUP($F34,[1]VTLK!$G$4:$L$478,3,FALSE),"")</f>
        <v>#REF!</v>
      </c>
      <c r="H34" s="16" t="e">
        <f>IF(VLOOKUP($F34,[1]VTLK!$G$4:$L$478,4,FALSE)&lt;&gt;"",VLOOKUP($F34,[1]VTLK!$G$4:$L$478,4,FALSE),"-")</f>
        <v>#REF!</v>
      </c>
      <c r="I34" s="16" t="e">
        <f>IF(VLOOKUP($F34,[1]VTLK!$G$4:$L$478,5,FALSE)&lt;&gt;"",VLOOKUP($F34,[1]VTLK!$G$4:$L$478,5,FALSE),"")</f>
        <v>#REF!</v>
      </c>
      <c r="J34" s="16" t="e">
        <f>IF(VLOOKUP($F34,[1]VTLK!$G$4:$L$478,6,FALSE)&lt;&gt;"",VLOOKUP($F34,[1]VTLK!$G$4:$L$478,6,FALSE),"-")</f>
        <v>#REF!</v>
      </c>
      <c r="K34" s="17">
        <v>4</v>
      </c>
      <c r="L34" s="11" t="s">
        <v>22</v>
      </c>
      <c r="M34" s="15" t="s">
        <v>93</v>
      </c>
      <c r="N34" s="18">
        <f>VLOOKUP(F34,[1]VTLK!$G$4:$P$478,10,FALSE)</f>
        <v>128466</v>
      </c>
      <c r="O34" s="18">
        <f t="shared" si="1"/>
        <v>513864</v>
      </c>
      <c r="P34" s="19" t="e">
        <f t="shared" si="2"/>
        <v>#REF!</v>
      </c>
      <c r="Q34" s="19" t="str">
        <f>VLOOKUP(F34,[2]PL1_BOTHU!$F$9:$V$522,17,FALSE)</f>
        <v>2~4w</v>
      </c>
      <c r="R34" s="20" t="s">
        <v>23</v>
      </c>
      <c r="S34" s="20">
        <v>1</v>
      </c>
      <c r="T34" s="20"/>
      <c r="U34" s="20" t="s">
        <v>94</v>
      </c>
      <c r="V34" s="23"/>
      <c r="W34" s="22" t="s">
        <v>25</v>
      </c>
    </row>
    <row r="35" spans="1:23" ht="30" x14ac:dyDescent="0.25">
      <c r="A35" s="11">
        <v>47</v>
      </c>
      <c r="B35" s="12" t="str">
        <f>IF(VLOOKUP($F35,[1]VTLK!$G$4:$H$478,2,FALSE)&lt;&gt;"",VLOOKUP($F35,[1]VTLK!$G$4:$H$478,2,FALSE),"")</f>
        <v>CON-SMD, CONN FEMALE 6POS DL.1'' TIN SMD</v>
      </c>
      <c r="C35" s="42" t="s">
        <v>90</v>
      </c>
      <c r="D35" s="14" t="str">
        <f t="shared" si="0"/>
        <v>CON-SMD</v>
      </c>
      <c r="E35" s="15" t="s">
        <v>95</v>
      </c>
      <c r="F35" s="15" t="s">
        <v>96</v>
      </c>
      <c r="G35" s="16" t="e">
        <f>IF(VLOOKUP($F35,[1]VTLK!$G$4:$L$478,3,FALSE)&lt;&gt;"",VLOOKUP($F35,[1]VTLK!$G$4:$L$478,3,FALSE),"")</f>
        <v>#REF!</v>
      </c>
      <c r="H35" s="16" t="e">
        <f>IF(VLOOKUP($F35,[1]VTLK!$G$4:$L$478,4,FALSE)&lt;&gt;"",VLOOKUP($F35,[1]VTLK!$G$4:$L$478,4,FALSE),"-")</f>
        <v>#REF!</v>
      </c>
      <c r="I35" s="16" t="e">
        <f>IF(VLOOKUP($F35,[1]VTLK!$G$4:$L$478,5,FALSE)&lt;&gt;"",VLOOKUP($F35,[1]VTLK!$G$4:$L$478,5,FALSE),"")</f>
        <v>#REF!</v>
      </c>
      <c r="J35" s="16" t="e">
        <f>IF(VLOOKUP($F35,[1]VTLK!$G$4:$L$478,6,FALSE)&lt;&gt;"",VLOOKUP($F35,[1]VTLK!$G$4:$L$478,6,FALSE),"-")</f>
        <v>#REF!</v>
      </c>
      <c r="K35" s="17">
        <v>4</v>
      </c>
      <c r="L35" s="11" t="s">
        <v>22</v>
      </c>
      <c r="M35" s="15" t="s">
        <v>97</v>
      </c>
      <c r="N35" s="18">
        <f>VLOOKUP(F35,[1]VTLK!$G$4:$P$478,10,FALSE)</f>
        <v>23112.899999999998</v>
      </c>
      <c r="O35" s="18">
        <f t="shared" si="1"/>
        <v>92451.599999999991</v>
      </c>
      <c r="P35" s="19" t="e">
        <f t="shared" si="2"/>
        <v>#REF!</v>
      </c>
      <c r="Q35" s="19" t="str">
        <f>VLOOKUP(F35,[2]PL1_BOTHU!$F$9:$V$522,17,FALSE)</f>
        <v>6~8W</v>
      </c>
      <c r="R35" s="20" t="s">
        <v>23</v>
      </c>
      <c r="S35" s="20">
        <v>1</v>
      </c>
      <c r="T35" s="20"/>
      <c r="U35" s="21" t="s">
        <v>24</v>
      </c>
      <c r="V35" s="23"/>
      <c r="W35" s="22" t="s">
        <v>25</v>
      </c>
    </row>
    <row r="36" spans="1:23" ht="30" x14ac:dyDescent="0.25">
      <c r="A36" s="11">
        <v>48</v>
      </c>
      <c r="B36" s="12" t="str">
        <f>IF(VLOOKUP($F36,[1]VTLK!$G$4:$H$478,2,FALSE)&lt;&gt;"",VLOOKUP($F36,[1]VTLK!$G$4:$H$478,2,FALSE),"")</f>
        <v>CON-SMD ,CONN MCX JACK STR 50OHM SMD</v>
      </c>
      <c r="C36" s="42" t="s">
        <v>90</v>
      </c>
      <c r="D36" s="14" t="str">
        <f t="shared" si="0"/>
        <v xml:space="preserve">CON-SMD </v>
      </c>
      <c r="E36" s="15" t="s">
        <v>98</v>
      </c>
      <c r="F36" s="15" t="s">
        <v>99</v>
      </c>
      <c r="G36" s="16" t="e">
        <f>IF(VLOOKUP($F36,[1]VTLK!$G$4:$L$478,3,FALSE)&lt;&gt;"",VLOOKUP($F36,[1]VTLK!$G$4:$L$478,3,FALSE),"")</f>
        <v>#REF!</v>
      </c>
      <c r="H36" s="16" t="e">
        <f>IF(VLOOKUP($F36,[1]VTLK!$G$4:$L$478,4,FALSE)&lt;&gt;"",VLOOKUP($F36,[1]VTLK!$G$4:$L$478,4,FALSE),"-")</f>
        <v>#REF!</v>
      </c>
      <c r="I36" s="16" t="e">
        <f>IF(VLOOKUP($F36,[1]VTLK!$G$4:$L$478,5,FALSE)&lt;&gt;"",VLOOKUP($F36,[1]VTLK!$G$4:$L$478,5,FALSE),"")</f>
        <v>#REF!</v>
      </c>
      <c r="J36" s="16" t="e">
        <f>IF(VLOOKUP($F36,[1]VTLK!$G$4:$L$478,6,FALSE)&lt;&gt;"",VLOOKUP($F36,[1]VTLK!$G$4:$L$478,6,FALSE),"-")</f>
        <v>#REF!</v>
      </c>
      <c r="K36" s="17">
        <v>4</v>
      </c>
      <c r="L36" s="11" t="s">
        <v>22</v>
      </c>
      <c r="M36" s="15" t="s">
        <v>100</v>
      </c>
      <c r="N36" s="18">
        <f>VLOOKUP(F36,[1]VTLK!$G$4:$P$478,10,FALSE)</f>
        <v>109552.95</v>
      </c>
      <c r="O36" s="18">
        <f t="shared" si="1"/>
        <v>438211.8</v>
      </c>
      <c r="P36" s="19" t="e">
        <f t="shared" si="2"/>
        <v>#REF!</v>
      </c>
      <c r="Q36" s="19" t="str">
        <f>VLOOKUP(F36,[2]PL1_BOTHU!$F$9:$V$522,17,FALSE)</f>
        <v>2W</v>
      </c>
      <c r="R36" s="20" t="s">
        <v>23</v>
      </c>
      <c r="S36" s="20">
        <v>1</v>
      </c>
      <c r="T36" s="20"/>
      <c r="U36" s="21" t="s">
        <v>24</v>
      </c>
      <c r="V36" s="23"/>
      <c r="W36" s="22" t="s">
        <v>25</v>
      </c>
    </row>
    <row r="37" spans="1:23" ht="30" x14ac:dyDescent="0.25">
      <c r="A37" s="11">
        <v>49</v>
      </c>
      <c r="B37" s="12" t="str">
        <f>IF(VLOOKUP($F37,[1]VTLK!$G$4:$H$478,2,FALSE)&lt;&gt;"",VLOOKUP($F37,[1]VTLK!$G$4:$H$478,2,FALSE),"")</f>
        <v xml:space="preserve">CON-DIP, CONN SMA JACK R/A 50 OHM PCB </v>
      </c>
      <c r="C37" s="42" t="s">
        <v>90</v>
      </c>
      <c r="D37" s="14" t="str">
        <f t="shared" si="0"/>
        <v>CON-DIP</v>
      </c>
      <c r="E37" s="15" t="s">
        <v>91</v>
      </c>
      <c r="F37" s="15" t="s">
        <v>101</v>
      </c>
      <c r="G37" s="16" t="e">
        <f>IF(VLOOKUP($F37,[1]VTLK!$G$4:$L$478,3,FALSE)&lt;&gt;"",VLOOKUP($F37,[1]VTLK!$G$4:$L$478,3,FALSE),"")</f>
        <v>#REF!</v>
      </c>
      <c r="H37" s="16" t="e">
        <f>IF(VLOOKUP($F37,[1]VTLK!$G$4:$L$478,4,FALSE)&lt;&gt;"",VLOOKUP($F37,[1]VTLK!$G$4:$L$478,4,FALSE),"-")</f>
        <v>#REF!</v>
      </c>
      <c r="I37" s="16" t="e">
        <f>IF(VLOOKUP($F37,[1]VTLK!$G$4:$L$478,5,FALSE)&lt;&gt;"",VLOOKUP($F37,[1]VTLK!$G$4:$L$478,5,FALSE),"")</f>
        <v>#REF!</v>
      </c>
      <c r="J37" s="16" t="e">
        <f>IF(VLOOKUP($F37,[1]VTLK!$G$4:$L$478,6,FALSE)&lt;&gt;"",VLOOKUP($F37,[1]VTLK!$G$4:$L$478,6,FALSE),"-")</f>
        <v>#REF!</v>
      </c>
      <c r="K37" s="17">
        <v>1</v>
      </c>
      <c r="L37" s="11" t="s">
        <v>22</v>
      </c>
      <c r="M37" s="15" t="s">
        <v>102</v>
      </c>
      <c r="N37" s="18">
        <f>VLOOKUP(F37,[1]VTLK!$G$4:$P$478,10,FALSE)</f>
        <v>394758.45</v>
      </c>
      <c r="O37" s="18">
        <f t="shared" si="1"/>
        <v>394758.45</v>
      </c>
      <c r="P37" s="19" t="e">
        <f t="shared" si="2"/>
        <v>#REF!</v>
      </c>
      <c r="Q37" s="19" t="str">
        <f>VLOOKUP(F37,[2]PL1_BOTHU!$F$9:$V$522,17,FALSE)</f>
        <v>2W</v>
      </c>
      <c r="R37" s="20" t="s">
        <v>23</v>
      </c>
      <c r="S37" s="20">
        <v>1</v>
      </c>
      <c r="T37" s="20"/>
      <c r="U37" s="20" t="s">
        <v>94</v>
      </c>
      <c r="V37" s="23"/>
      <c r="W37" s="22" t="s">
        <v>25</v>
      </c>
    </row>
    <row r="38" spans="1:23" ht="30" x14ac:dyDescent="0.25">
      <c r="A38" s="11">
        <v>50</v>
      </c>
      <c r="B38" s="12" t="str">
        <f>IF(VLOOKUP($F38,[1]VTLK!$G$4:$H$478,2,FALSE)&lt;&gt;"",VLOOKUP($F38,[1]VTLK!$G$4:$H$478,2,FALSE),"")</f>
        <v xml:space="preserve">CON_SMD, CONN HEADER 10PS .100 SINGLE SMD </v>
      </c>
      <c r="C38" s="43" t="s">
        <v>90</v>
      </c>
      <c r="D38" s="14" t="str">
        <f t="shared" si="0"/>
        <v>CON_SMD</v>
      </c>
      <c r="E38" s="15" t="s">
        <v>95</v>
      </c>
      <c r="F38" s="15" t="s">
        <v>103</v>
      </c>
      <c r="G38" s="16" t="e">
        <f>IF(VLOOKUP($F38,[1]VTLK!$G$4:$L$478,3,FALSE)&lt;&gt;"",VLOOKUP($F38,[1]VTLK!$G$4:$L$478,3,FALSE),"")</f>
        <v>#REF!</v>
      </c>
      <c r="H38" s="16" t="e">
        <f>IF(VLOOKUP($F38,[1]VTLK!$G$4:$L$478,4,FALSE)&lt;&gt;"",VLOOKUP($F38,[1]VTLK!$G$4:$L$478,4,FALSE),"-")</f>
        <v>#REF!</v>
      </c>
      <c r="I38" s="16" t="e">
        <f>IF(VLOOKUP($F38,[1]VTLK!$G$4:$L$478,5,FALSE)&lt;&gt;"",VLOOKUP($F38,[1]VTLK!$G$4:$L$478,5,FALSE),"")</f>
        <v>#REF!</v>
      </c>
      <c r="J38" s="16" t="e">
        <f>IF(VLOOKUP($F38,[1]VTLK!$G$4:$L$478,6,FALSE)&lt;&gt;"",VLOOKUP($F38,[1]VTLK!$G$4:$L$478,6,FALSE),"-")</f>
        <v>#REF!</v>
      </c>
      <c r="K38" s="17">
        <v>1</v>
      </c>
      <c r="L38" s="11" t="s">
        <v>22</v>
      </c>
      <c r="M38" s="15" t="s">
        <v>104</v>
      </c>
      <c r="N38" s="18">
        <f>VLOOKUP(F38,[1]VTLK!$G$4:$P$478,10,FALSE)</f>
        <v>50343.299999999996</v>
      </c>
      <c r="O38" s="18">
        <f t="shared" si="1"/>
        <v>50343.299999999996</v>
      </c>
      <c r="P38" s="19" t="e">
        <f t="shared" si="2"/>
        <v>#REF!</v>
      </c>
      <c r="Q38" s="19" t="str">
        <f>VLOOKUP(F38,[2]PL1_BOTHU!$F$9:$V$522,17,FALSE)</f>
        <v>6~8W</v>
      </c>
      <c r="R38" s="20" t="s">
        <v>23</v>
      </c>
      <c r="S38" s="20">
        <v>1</v>
      </c>
      <c r="T38" s="20"/>
      <c r="U38" s="21" t="s">
        <v>24</v>
      </c>
      <c r="V38" s="23"/>
      <c r="W38" s="22" t="s">
        <v>25</v>
      </c>
    </row>
    <row r="39" spans="1:23" ht="21" x14ac:dyDescent="0.25">
      <c r="A39" s="11">
        <v>51</v>
      </c>
      <c r="B39" s="12" t="str">
        <f>IF(VLOOKUP($F39,[1]VTLK!$G$4:$H$478,2,FALSE)&lt;&gt;"",VLOOKUP($F39,[1]VTLK!$G$4:$H$478,2,FALSE),"")</f>
        <v>MOS-FET, N-Channel, 60V, 300mA, SOT23</v>
      </c>
      <c r="C39" s="13" t="s">
        <v>105</v>
      </c>
      <c r="D39" s="14" t="str">
        <f t="shared" si="0"/>
        <v>MOS-FET</v>
      </c>
      <c r="E39" s="15" t="s">
        <v>106</v>
      </c>
      <c r="F39" s="15" t="s">
        <v>107</v>
      </c>
      <c r="G39" s="16" t="e">
        <f>IF(VLOOKUP($F39,[1]VTLK!$G$4:$L$478,3,FALSE)&lt;&gt;"",VLOOKUP($F39,[1]VTLK!$G$4:$L$478,3,FALSE),"")</f>
        <v>#REF!</v>
      </c>
      <c r="H39" s="16" t="e">
        <f>IF(VLOOKUP($F39,[1]VTLK!$G$4:$L$478,4,FALSE)&lt;&gt;"",VLOOKUP($F39,[1]VTLK!$G$4:$L$478,4,FALSE),"-")</f>
        <v>#REF!</v>
      </c>
      <c r="I39" s="16" t="e">
        <f>IF(VLOOKUP($F39,[1]VTLK!$G$4:$L$478,5,FALSE)&lt;&gt;"",VLOOKUP($F39,[1]VTLK!$G$4:$L$478,5,FALSE),"")</f>
        <v>#REF!</v>
      </c>
      <c r="J39" s="16" t="e">
        <f>IF(VLOOKUP($F39,[1]VTLK!$G$4:$L$478,6,FALSE)&lt;&gt;"",VLOOKUP($F39,[1]VTLK!$G$4:$L$478,6,FALSE),"-")</f>
        <v>#REF!</v>
      </c>
      <c r="K39" s="17">
        <v>10</v>
      </c>
      <c r="L39" s="11" t="s">
        <v>22</v>
      </c>
      <c r="M39" s="15" t="s">
        <v>108</v>
      </c>
      <c r="N39" s="18">
        <f>VLOOKUP(F39,[1]VTLK!$G$4:$P$478,10,FALSE)</f>
        <v>6780.15</v>
      </c>
      <c r="O39" s="18">
        <f t="shared" si="1"/>
        <v>67801.5</v>
      </c>
      <c r="P39" s="19" t="e">
        <f t="shared" si="2"/>
        <v>#REF!</v>
      </c>
      <c r="Q39" s="19" t="str">
        <f>VLOOKUP(F39,[2]PL1_BOTHU!$F$9:$V$522,17,FALSE)</f>
        <v>2W</v>
      </c>
      <c r="R39" s="20" t="s">
        <v>28</v>
      </c>
      <c r="S39" s="20">
        <v>1</v>
      </c>
      <c r="T39" s="20"/>
      <c r="U39" s="21" t="s">
        <v>24</v>
      </c>
      <c r="V39" s="23"/>
      <c r="W39" s="22" t="s">
        <v>29</v>
      </c>
    </row>
    <row r="40" spans="1:23" ht="84" x14ac:dyDescent="0.25">
      <c r="A40" s="11">
        <v>52</v>
      </c>
      <c r="B40" s="12" t="str">
        <f>IF(VLOOKUP($F40,[1]VTLK!$G$4:$H$478,2,FALSE)&lt;&gt;"",VLOOKUP($F40,[1]VTLK!$G$4:$H$478,2,FALSE),"")</f>
        <v>RES-SMD, 0 OHM JUMPER, 0402, 1/5W</v>
      </c>
      <c r="C40" s="13" t="s">
        <v>109</v>
      </c>
      <c r="D40" s="14" t="str">
        <f t="shared" si="0"/>
        <v>RES-SMD</v>
      </c>
      <c r="E40" s="15" t="s">
        <v>110</v>
      </c>
      <c r="F40" s="15" t="s">
        <v>111</v>
      </c>
      <c r="G40" s="16" t="str">
        <f>IF(VLOOKUP($F40,[1]VTLK!$G$4:$L$478,3,FALSE)&lt;&gt;"",VLOOKUP($F40,[1]VTLK!$G$4:$L$478,3,FALSE),"")</f>
        <v>Samsung Electro-Mechanics</v>
      </c>
      <c r="H40" s="16" t="str">
        <f>IF(VLOOKUP($F40,[1]VTLK!$G$4:$L$478,4,FALSE)&lt;&gt;"",VLOOKUP($F40,[1]VTLK!$G$4:$L$478,4,FALSE),"-")</f>
        <v>RC1005J000CS</v>
      </c>
      <c r="I40" s="16" t="str">
        <f>IF(VLOOKUP($F40,[1]VTLK!$G$4:$L$478,5,FALSE)&lt;&gt;"",VLOOKUP($F40,[1]VTLK!$G$4:$L$478,5,FALSE),"")</f>
        <v>TE Connectivity Passive Product</v>
      </c>
      <c r="J40" s="16" t="str">
        <f>IF(VLOOKUP($F40,[1]VTLK!$G$4:$L$478,6,FALSE)&lt;&gt;"",VLOOKUP($F40,[1]VTLK!$G$4:$L$478,6,FALSE),"-")</f>
        <v>CRG0402ZR</v>
      </c>
      <c r="K40" s="17">
        <v>45</v>
      </c>
      <c r="L40" s="11" t="s">
        <v>22</v>
      </c>
      <c r="M40" s="15" t="s">
        <v>112</v>
      </c>
      <c r="N40" s="18">
        <f>VLOOKUP(F40,[1]VTLK!$G$4:$P$478,10,FALSE)</f>
        <v>3403.7999999999997</v>
      </c>
      <c r="O40" s="18">
        <f t="shared" si="1"/>
        <v>153171</v>
      </c>
      <c r="P40" s="19">
        <f t="shared" si="2"/>
        <v>3</v>
      </c>
      <c r="Q40" s="19" t="str">
        <f>VLOOKUP(F40,[2]PL1_BOTHU!$F$9:$V$522,17,FALSE)</f>
        <v>2W</v>
      </c>
      <c r="R40" s="20" t="s">
        <v>28</v>
      </c>
      <c r="S40" s="20">
        <v>1</v>
      </c>
      <c r="T40" s="20"/>
      <c r="U40" s="21" t="s">
        <v>24</v>
      </c>
      <c r="V40" s="23"/>
      <c r="W40" s="22" t="s">
        <v>29</v>
      </c>
    </row>
    <row r="41" spans="1:23" ht="30" x14ac:dyDescent="0.25">
      <c r="A41" s="11">
        <v>53</v>
      </c>
      <c r="B41" s="12" t="str">
        <f>IF(VLOOKUP($F41,[1]VTLK!$G$4:$H$478,2,FALSE)&lt;&gt;"",VLOOKUP($F41,[1]VTLK!$G$4:$H$478,2,FALSE),"")</f>
        <v>RES-SMD, 10K  OHM 1% ,0402 , 1/10W</v>
      </c>
      <c r="C41" s="13" t="s">
        <v>109</v>
      </c>
      <c r="D41" s="14" t="str">
        <f t="shared" si="0"/>
        <v>RES-SMD</v>
      </c>
      <c r="E41" s="15" t="s">
        <v>113</v>
      </c>
      <c r="F41" s="15" t="s">
        <v>114</v>
      </c>
      <c r="G41" s="16" t="str">
        <f>IF(VLOOKUP($F41,[1]VTLK!$G$4:$L$478,3,FALSE)&lt;&gt;"",VLOOKUP($F41,[1]VTLK!$G$4:$L$478,3,FALSE),"")</f>
        <v xml:space="preserve">Vishay Beyschlag </v>
      </c>
      <c r="H41" s="16" t="str">
        <f>IF(VLOOKUP($F41,[1]VTLK!$G$4:$L$478,4,FALSE)&lt;&gt;"",VLOOKUP($F41,[1]VTLK!$G$4:$L$478,4,FALSE),"-")</f>
        <v>MCS0402MC1002FE000</v>
      </c>
      <c r="I41" s="16" t="str">
        <f>IF(VLOOKUP($F41,[1]VTLK!$G$4:$L$478,5,FALSE)&lt;&gt;"",VLOOKUP($F41,[1]VTLK!$G$4:$L$478,5,FALSE),"")</f>
        <v xml:space="preserve"> Stackpole Electronics Inc.</v>
      </c>
      <c r="J41" s="16" t="str">
        <f>IF(VLOOKUP($F41,[1]VTLK!$G$4:$L$478,6,FALSE)&lt;&gt;"",VLOOKUP($F41,[1]VTLK!$G$4:$L$478,6,FALSE),"-")</f>
        <v xml:space="preserve">RNCP0402FTD10K0 </v>
      </c>
      <c r="K41" s="17">
        <v>13</v>
      </c>
      <c r="L41" s="11" t="s">
        <v>22</v>
      </c>
      <c r="M41" s="15" t="s">
        <v>115</v>
      </c>
      <c r="N41" s="18">
        <f>VLOOKUP(F41,[1]VTLK!$G$4:$P$478,10,FALSE)</f>
        <v>1537.2</v>
      </c>
      <c r="O41" s="18">
        <f t="shared" si="1"/>
        <v>19983.600000000002</v>
      </c>
      <c r="P41" s="19">
        <f t="shared" si="2"/>
        <v>3</v>
      </c>
      <c r="Q41" s="19" t="str">
        <f>VLOOKUP(F41,[2]PL1_BOTHU!$F$9:$V$522,17,FALSE)</f>
        <v>2W</v>
      </c>
      <c r="R41" s="20" t="s">
        <v>28</v>
      </c>
      <c r="S41" s="20">
        <v>1</v>
      </c>
      <c r="T41" s="20"/>
      <c r="U41" s="21" t="s">
        <v>24</v>
      </c>
      <c r="V41" s="23"/>
      <c r="W41" s="22" t="s">
        <v>29</v>
      </c>
    </row>
    <row r="42" spans="1:23" ht="30" x14ac:dyDescent="0.25">
      <c r="A42" s="24">
        <v>54</v>
      </c>
      <c r="B42" s="25" t="str">
        <f>IF(VLOOKUP($F42,[1]VTLK!$G$4:$H$478,2,FALSE)&lt;&gt;"",VLOOKUP($F42,[1]VTLK!$G$4:$H$478,2,FALSE),"")</f>
        <v>RES-SMD, 47K OHM, 1%, 1/10W, 0603</v>
      </c>
      <c r="C42" s="26" t="s">
        <v>109</v>
      </c>
      <c r="D42" s="27" t="str">
        <f t="shared" si="0"/>
        <v>RES-SMD</v>
      </c>
      <c r="E42" s="28" t="s">
        <v>113</v>
      </c>
      <c r="F42" s="28" t="s">
        <v>116</v>
      </c>
      <c r="G42" s="29" t="str">
        <f>IF(VLOOKUP($F42,[1]VTLK!$G$4:$L$478,3,FALSE)&lt;&gt;"",VLOOKUP($F42,[1]VTLK!$G$4:$L$478,3,FALSE),"")</f>
        <v>Rohm Semiconductor</v>
      </c>
      <c r="H42" s="29" t="str">
        <f>IF(VLOOKUP($F42,[1]VTLK!$G$4:$L$478,4,FALSE)&lt;&gt;"",VLOOKUP($F42,[1]VTLK!$G$4:$L$478,4,FALSE),"-")</f>
        <v>KTR03EZPF4701</v>
      </c>
      <c r="I42" s="29" t="str">
        <f>IF(VLOOKUP($F42,[1]VTLK!$G$4:$L$478,5,FALSE)&lt;&gt;"",VLOOKUP($F42,[1]VTLK!$G$4:$L$478,5,FALSE),"")</f>
        <v>Vishay Dale</v>
      </c>
      <c r="J42" s="29" t="str">
        <f>IF(VLOOKUP($F42,[1]VTLK!$G$4:$L$478,6,FALSE)&lt;&gt;"",VLOOKUP($F42,[1]VTLK!$G$4:$L$478,6,FALSE),"-")</f>
        <v>CRCW06034K70FKTA</v>
      </c>
      <c r="K42" s="30">
        <v>12</v>
      </c>
      <c r="L42" s="24" t="s">
        <v>22</v>
      </c>
      <c r="M42" s="28" t="s">
        <v>117</v>
      </c>
      <c r="N42" s="31">
        <f>VLOOKUP(F42,[1]VTLK!$G$4:$P$478,10,FALSE)</f>
        <v>2168.5499999999997</v>
      </c>
      <c r="O42" s="31">
        <f t="shared" si="1"/>
        <v>26022.6</v>
      </c>
      <c r="P42" s="32">
        <f t="shared" si="2"/>
        <v>3</v>
      </c>
      <c r="Q42" s="32" t="str">
        <f>VLOOKUP(F42,[2]PL1_BOTHU!$F$9:$V$522,17,FALSE)</f>
        <v>2W</v>
      </c>
      <c r="R42" s="33" t="s">
        <v>28</v>
      </c>
      <c r="S42" s="33">
        <v>1</v>
      </c>
      <c r="T42" s="33" t="s">
        <v>118</v>
      </c>
      <c r="U42" s="21" t="s">
        <v>24</v>
      </c>
      <c r="V42" s="34"/>
      <c r="W42" s="35" t="s">
        <v>29</v>
      </c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:B6">
    <cfRule type="duplicateValues" dxfId="6" priority="24"/>
  </conditionalFormatting>
  <conditionalFormatting sqref="F1:H6 F7:F42">
    <cfRule type="duplicateValues" dxfId="5" priority="25"/>
  </conditionalFormatting>
  <conditionalFormatting sqref="F1:F42">
    <cfRule type="duplicateValues" dxfId="4" priority="27"/>
  </conditionalFormatting>
  <conditionalFormatting sqref="B1:B42">
    <cfRule type="duplicateValues" dxfId="3" priority="28"/>
  </conditionalFormatting>
  <conditionalFormatting sqref="H7:H42">
    <cfRule type="duplicateValues" dxfId="2" priority="29"/>
  </conditionalFormatting>
  <conditionalFormatting sqref="B7:B42">
    <cfRule type="duplicateValues" dxfId="1" priority="30"/>
  </conditionalFormatting>
  <conditionalFormatting sqref="J7:J42">
    <cfRule type="duplicateValues" dxfId="0" priority="3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2019-10-23T03:47:49Z</dcterms:modified>
</cp:coreProperties>
</file>