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Electronic\DHPSU\17_Prototype_2\01_Analytical_Brute_force_TLNPC\"/>
    </mc:Choice>
  </mc:AlternateContent>
  <bookViews>
    <workbookView xWindow="0" yWindow="0" windowWidth="25200" windowHeight="11250"/>
  </bookViews>
  <sheets>
    <sheet name="Magnetics Curve Fit Equations" sheetId="1" r:id="rId1"/>
  </sheets>
  <definedNames>
    <definedName name="input">'Magnetics Curve Fit Equations'!#REF!</definedName>
    <definedName name="_xlnm.Print_Area" localSheetId="0">'Magnetics Curve Fit Equations'!$B$2:$AS$32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46" i="1" l="1"/>
  <c r="AS46" i="1" s="1"/>
  <c r="AR47" i="1"/>
  <c r="AS47" i="1" s="1"/>
  <c r="AR36" i="1"/>
  <c r="AS36" i="1"/>
  <c r="AR37" i="1"/>
  <c r="AS37" i="1" s="1"/>
  <c r="AR38" i="1"/>
  <c r="AS38" i="1" s="1"/>
  <c r="AR39" i="1"/>
  <c r="AS39" i="1"/>
  <c r="AR40" i="1"/>
  <c r="AS40" i="1" s="1"/>
  <c r="AR41" i="1"/>
  <c r="AS41" i="1" s="1"/>
  <c r="AR42" i="1"/>
  <c r="AS42" i="1" s="1"/>
  <c r="AR43" i="1"/>
  <c r="AS43" i="1" s="1"/>
  <c r="AR44" i="1"/>
  <c r="AS44" i="1" s="1"/>
  <c r="AR45" i="1"/>
  <c r="AS45" i="1" s="1"/>
  <c r="AR25" i="1"/>
  <c r="AS25" i="1" s="1"/>
  <c r="AR26" i="1"/>
  <c r="AS26" i="1" s="1"/>
  <c r="AR27" i="1"/>
  <c r="AS27" i="1" s="1"/>
  <c r="AR28" i="1"/>
  <c r="AS28" i="1" s="1"/>
  <c r="AR29" i="1"/>
  <c r="AS29" i="1" s="1"/>
  <c r="AH37" i="1" l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18" i="1"/>
  <c r="AI18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45" i="1"/>
  <c r="AI45" i="1" s="1"/>
  <c r="AH46" i="1"/>
  <c r="AI46" i="1" s="1"/>
  <c r="AH47" i="1"/>
  <c r="AI47" i="1" s="1"/>
  <c r="AH36" i="1"/>
  <c r="AI36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9" i="1"/>
  <c r="AI19" i="1" s="1"/>
  <c r="Y55" i="1" l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51" i="1"/>
  <c r="O55" i="1" l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51" i="1"/>
  <c r="G55" i="1" l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Y9" i="1" l="1"/>
  <c r="Y32" i="1" l="1"/>
  <c r="Y31" i="1"/>
  <c r="Y29" i="1"/>
  <c r="Y30" i="1"/>
  <c r="Y46" i="1" l="1"/>
  <c r="Y43" i="1"/>
  <c r="Y42" i="1"/>
  <c r="Y41" i="1"/>
  <c r="Y40" i="1"/>
  <c r="Y45" i="1" l="1"/>
  <c r="O32" i="1" l="1"/>
  <c r="O31" i="1"/>
  <c r="O30" i="1"/>
  <c r="O29" i="1"/>
  <c r="O45" i="1" l="1"/>
  <c r="G50" i="1"/>
  <c r="H50" i="1" s="1"/>
  <c r="G45" i="1"/>
  <c r="H45" i="1" s="1"/>
  <c r="G32" i="1"/>
  <c r="H32" i="1" s="1"/>
  <c r="G31" i="1"/>
  <c r="H31" i="1" s="1"/>
  <c r="G30" i="1"/>
  <c r="H30" i="1" s="1"/>
  <c r="G29" i="1"/>
  <c r="H29" i="1" s="1"/>
  <c r="N28" i="1" l="1"/>
  <c r="N27" i="1"/>
  <c r="L28" i="1"/>
  <c r="L27" i="1"/>
  <c r="Y54" i="1" l="1"/>
  <c r="Y53" i="1"/>
  <c r="Y52" i="1"/>
  <c r="Y50" i="1"/>
  <c r="Y49" i="1"/>
  <c r="Y48" i="1"/>
  <c r="Y47" i="1"/>
  <c r="Y44" i="1"/>
  <c r="Y39" i="1"/>
  <c r="Y38" i="1"/>
  <c r="Y37" i="1"/>
  <c r="Y36" i="1"/>
  <c r="Y35" i="1"/>
  <c r="Y34" i="1"/>
  <c r="Y33" i="1"/>
  <c r="Y25" i="1"/>
  <c r="Y24" i="1"/>
  <c r="Y23" i="1"/>
  <c r="Y22" i="1"/>
  <c r="Y28" i="1"/>
  <c r="Y27" i="1"/>
  <c r="Y21" i="1"/>
  <c r="Y20" i="1"/>
  <c r="Y19" i="1"/>
  <c r="Y18" i="1"/>
  <c r="Y17" i="1"/>
  <c r="Y16" i="1"/>
  <c r="Y15" i="1"/>
  <c r="Y14" i="1"/>
  <c r="Y13" i="1"/>
  <c r="Y12" i="1"/>
  <c r="Y11" i="1"/>
  <c r="Y10" i="1"/>
  <c r="R75" i="1" l="1"/>
  <c r="O40" i="1" l="1"/>
  <c r="O23" i="1"/>
  <c r="K75" i="1"/>
  <c r="O50" i="1" l="1"/>
  <c r="O22" i="1" l="1"/>
  <c r="O21" i="1"/>
  <c r="O52" i="1" l="1"/>
  <c r="O41" i="1" l="1"/>
  <c r="C75" i="1"/>
  <c r="G51" i="1"/>
  <c r="H51" i="1" s="1"/>
  <c r="G40" i="1" l="1"/>
  <c r="H40" i="1" s="1"/>
  <c r="G43" i="1"/>
  <c r="H43" i="1" s="1"/>
  <c r="G42" i="1"/>
  <c r="H42" i="1" s="1"/>
  <c r="G23" i="1" l="1"/>
  <c r="H23" i="1" s="1"/>
  <c r="G28" i="1"/>
  <c r="H28" i="1" s="1"/>
  <c r="G21" i="1"/>
  <c r="H21" i="1" s="1"/>
  <c r="G19" i="1" l="1"/>
  <c r="H19" i="1" s="1"/>
  <c r="G20" i="1"/>
  <c r="H20" i="1" s="1"/>
  <c r="G27" i="1"/>
  <c r="H27" i="1" s="1"/>
  <c r="G22" i="1"/>
  <c r="H22" i="1" s="1"/>
  <c r="G24" i="1"/>
  <c r="H24" i="1" s="1"/>
  <c r="G25" i="1"/>
  <c r="H25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1" i="1"/>
  <c r="H41" i="1" s="1"/>
  <c r="G44" i="1"/>
  <c r="H44" i="1" s="1"/>
  <c r="G46" i="1"/>
  <c r="H46" i="1" s="1"/>
  <c r="G47" i="1"/>
  <c r="H47" i="1" s="1"/>
  <c r="G48" i="1"/>
  <c r="H48" i="1" s="1"/>
  <c r="G49" i="1"/>
  <c r="H49" i="1" s="1"/>
  <c r="G52" i="1"/>
  <c r="H52" i="1" s="1"/>
  <c r="G53" i="1"/>
  <c r="H53" i="1" s="1"/>
  <c r="G54" i="1"/>
  <c r="H54" i="1" s="1"/>
  <c r="G10" i="1"/>
  <c r="G11" i="1"/>
  <c r="G12" i="1"/>
  <c r="G13" i="1"/>
  <c r="G14" i="1"/>
  <c r="G15" i="1"/>
  <c r="G16" i="1"/>
  <c r="G17" i="1"/>
  <c r="G18" i="1"/>
  <c r="G9" i="1"/>
  <c r="H10" i="1" l="1"/>
  <c r="H11" i="1"/>
  <c r="H12" i="1"/>
  <c r="H13" i="1"/>
  <c r="H14" i="1"/>
  <c r="H15" i="1"/>
  <c r="H16" i="1"/>
  <c r="H17" i="1"/>
  <c r="H18" i="1"/>
  <c r="H9" i="1"/>
  <c r="O53" i="1" l="1"/>
  <c r="O54" i="1" l="1"/>
  <c r="O33" i="1" l="1"/>
  <c r="O9" i="1"/>
  <c r="O43" i="1"/>
  <c r="O42" i="1"/>
  <c r="O46" i="1"/>
  <c r="O38" i="1"/>
  <c r="O44" i="1"/>
  <c r="O49" i="1" l="1"/>
  <c r="O48" i="1"/>
  <c r="O47" i="1"/>
  <c r="AR15" i="1" l="1"/>
  <c r="AS15" i="1" s="1"/>
  <c r="AR16" i="1"/>
  <c r="AS16" i="1" s="1"/>
  <c r="AR10" i="1" l="1"/>
  <c r="AS10" i="1" s="1"/>
  <c r="AR11" i="1"/>
  <c r="AS11" i="1" s="1"/>
  <c r="AR12" i="1"/>
  <c r="AS12" i="1" s="1"/>
  <c r="AR13" i="1"/>
  <c r="AS13" i="1" s="1"/>
  <c r="AR14" i="1"/>
  <c r="AS14" i="1" s="1"/>
  <c r="AR17" i="1"/>
  <c r="AS17" i="1" s="1"/>
  <c r="AR18" i="1"/>
  <c r="AS18" i="1" s="1"/>
  <c r="AR19" i="1"/>
  <c r="AS19" i="1" s="1"/>
  <c r="AR20" i="1"/>
  <c r="AS20" i="1" s="1"/>
  <c r="AR21" i="1"/>
  <c r="AS21" i="1" s="1"/>
  <c r="AR22" i="1"/>
  <c r="AS22" i="1" s="1"/>
  <c r="AR23" i="1"/>
  <c r="AS23" i="1" s="1"/>
  <c r="AR24" i="1"/>
  <c r="AS24" i="1" s="1"/>
  <c r="AR30" i="1"/>
  <c r="AS30" i="1" s="1"/>
  <c r="AR31" i="1"/>
  <c r="AS31" i="1" s="1"/>
  <c r="AR32" i="1"/>
  <c r="AS32" i="1" s="1"/>
  <c r="AR33" i="1"/>
  <c r="AS33" i="1" s="1"/>
  <c r="AR34" i="1"/>
  <c r="AS34" i="1" s="1"/>
  <c r="AR35" i="1"/>
  <c r="AS35" i="1" s="1"/>
  <c r="AR9" i="1"/>
  <c r="AS9" i="1" s="1"/>
  <c r="AH10" i="1"/>
  <c r="AI10" i="1" s="1"/>
  <c r="AH9" i="1"/>
  <c r="AI9" i="1" s="1"/>
  <c r="O10" i="1" l="1"/>
  <c r="O11" i="1"/>
  <c r="O12" i="1"/>
  <c r="O13" i="1"/>
  <c r="O14" i="1"/>
  <c r="O15" i="1"/>
  <c r="O16" i="1"/>
  <c r="O17" i="1"/>
  <c r="O18" i="1"/>
  <c r="O19" i="1"/>
  <c r="O20" i="1"/>
  <c r="O27" i="1"/>
  <c r="O28" i="1"/>
  <c r="O24" i="1"/>
  <c r="O25" i="1"/>
  <c r="O34" i="1"/>
  <c r="O35" i="1"/>
  <c r="O36" i="1"/>
  <c r="O37" i="1"/>
  <c r="O39" i="1"/>
</calcChain>
</file>

<file path=xl/sharedStrings.xml><?xml version="1.0" encoding="utf-8"?>
<sst xmlns="http://schemas.openxmlformats.org/spreadsheetml/2006/main" count="116" uniqueCount="50">
  <si>
    <t>Material</t>
  </si>
  <si>
    <t>MPP</t>
  </si>
  <si>
    <t>a</t>
  </si>
  <si>
    <t>b</t>
  </si>
  <si>
    <t>c</t>
  </si>
  <si>
    <t>d</t>
  </si>
  <si>
    <t>e</t>
  </si>
  <si>
    <t>High Flux</t>
  </si>
  <si>
    <t>Kool Mµ</t>
  </si>
  <si>
    <t>Perm</t>
  </si>
  <si>
    <t>x</t>
  </si>
  <si>
    <t>Δµ/µi(%)</t>
  </si>
  <si>
    <t>1. Permeability vs DC Bias</t>
  </si>
  <si>
    <t>2. Core Loss Density</t>
  </si>
  <si>
    <t>3. Normal Magnetization</t>
  </si>
  <si>
    <t>Input Frequency (F) Below in MHz</t>
  </si>
  <si>
    <t>Input Temperature (T) Below in Celsius</t>
  </si>
  <si>
    <t>Unit Conversion</t>
  </si>
  <si>
    <t>Tesla</t>
  </si>
  <si>
    <t>Gauss</t>
  </si>
  <si>
    <t>Δµ</t>
  </si>
  <si>
    <t>75-Series</t>
  </si>
  <si>
    <t>Oersteds</t>
  </si>
  <si>
    <t>Kool Mµ MAX</t>
  </si>
  <si>
    <t>Initial Permeability</t>
  </si>
  <si>
    <t>Enter Drive Level (H) in Oersteds:</t>
  </si>
  <si>
    <t>58339, 58167, 58620, 58070, 58740, 58866, 58906, 58778, 58098, 58340:</t>
  </si>
  <si>
    <t>AT/cm</t>
  </si>
  <si>
    <t>Oersted</t>
  </si>
  <si>
    <t>Core Loss (mW/cc)</t>
  </si>
  <si>
    <t>Enter frequency in Kilohertz:</t>
  </si>
  <si>
    <t>Enter Flux Density (B) in Tesla:</t>
  </si>
  <si>
    <t>Material:</t>
  </si>
  <si>
    <t>Input Drive Level (H) below in Oersteds</t>
  </si>
  <si>
    <t>Edge</t>
  </si>
  <si>
    <t>XFlux</t>
  </si>
  <si>
    <t>Kool Mµ E-core, U-core, Block</t>
  </si>
  <si>
    <t>XFlux E-core, U-core, Block</t>
  </si>
  <si>
    <t>Permeability</t>
  </si>
  <si>
    <t>4. Permeability vs. Frequency</t>
  </si>
  <si>
    <t>5. Permeability vs. Temperature</t>
  </si>
  <si>
    <t xml:space="preserve">XFlux </t>
  </si>
  <si>
    <t>Kool Mµ 
E-core, U-core, Block</t>
  </si>
  <si>
    <t>High Flux EQ &amp; LP</t>
  </si>
  <si>
    <t>Kool Mµ EQ &amp; LP</t>
  </si>
  <si>
    <t>XFlux EQ &amp; LP</t>
  </si>
  <si>
    <t>Kool Mµ Hƒ</t>
  </si>
  <si>
    <t>Roll-off (%)</t>
  </si>
  <si>
    <t>Roll-off (μ)</t>
  </si>
  <si>
    <t>B (Tesla)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</si>
</sst>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E+00"/>
    <numFmt numFmtId="165" formatCode="0.000"/>
    <numFmt numFmtId="166" formatCode="0.0%"/>
    <numFmt numFmtId="167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0" borderId="0"/>
    <xf numFmtId="0" fontId="4" fillId="0" borderId="0"/>
  </cellStyleXfs>
  <cellXfs count="496">
    <xf numFmtId="0" fontId="0" fillId="0" borderId="0" xfId="0"/>
    <xf numFmtId="0" fontId="0" fillId="0" borderId="0" xfId="0" applyFont="1"/>
    <xf numFmtId="0" fontId="7" fillId="0" borderId="0" xfId="0" applyFont="1"/>
    <xf numFmtId="0" fontId="3" fillId="0" borderId="0" xfId="0" applyFont="1" applyBorder="1" applyAlignment="1">
      <alignment vertical="top" wrapText="1"/>
    </xf>
    <xf numFmtId="0" fontId="0" fillId="0" borderId="0" xfId="0" applyFont="1" applyBorder="1"/>
    <xf numFmtId="0" fontId="0" fillId="0" borderId="14" xfId="0" applyFont="1" applyBorder="1"/>
    <xf numFmtId="0" fontId="9" fillId="5" borderId="8" xfId="2" applyNumberFormat="1" applyFont="1" applyBorder="1" applyAlignment="1" applyProtection="1">
      <protection locked="0"/>
    </xf>
    <xf numFmtId="0" fontId="9" fillId="5" borderId="7" xfId="2" applyNumberFormat="1" applyFont="1" applyBorder="1" applyAlignment="1" applyProtection="1">
      <protection locked="0"/>
    </xf>
    <xf numFmtId="0" fontId="9" fillId="5" borderId="4" xfId="2" applyNumberFormat="1" applyFont="1" applyBorder="1" applyAlignment="1" applyProtection="1">
      <protection locked="0"/>
    </xf>
    <xf numFmtId="0" fontId="6" fillId="0" borderId="9" xfId="0" applyFont="1" applyBorder="1"/>
    <xf numFmtId="0" fontId="7" fillId="0" borderId="0" xfId="0" applyFont="1" applyBorder="1"/>
    <xf numFmtId="0" fontId="7" fillId="0" borderId="10" xfId="0" applyFont="1" applyBorder="1"/>
    <xf numFmtId="0" fontId="7" fillId="0" borderId="9" xfId="0" applyFont="1" applyBorder="1"/>
    <xf numFmtId="0" fontId="9" fillId="5" borderId="0" xfId="2" applyNumberFormat="1" applyFont="1" applyBorder="1" applyAlignment="1" applyProtection="1">
      <protection locked="0"/>
    </xf>
    <xf numFmtId="0" fontId="9" fillId="5" borderId="9" xfId="2" applyNumberFormat="1" applyFont="1" applyBorder="1" applyAlignment="1" applyProtection="1">
      <protection locked="0"/>
    </xf>
    <xf numFmtId="0" fontId="9" fillId="5" borderId="10" xfId="2" applyNumberFormat="1" applyFont="1" applyBorder="1" applyAlignment="1" applyProtection="1">
      <protection locked="0"/>
    </xf>
    <xf numFmtId="164" fontId="3" fillId="9" borderId="16" xfId="0" applyNumberFormat="1" applyFont="1" applyFill="1" applyBorder="1" applyAlignment="1">
      <alignment vertical="top" wrapText="1"/>
    </xf>
    <xf numFmtId="164" fontId="3" fillId="9" borderId="17" xfId="0" applyNumberFormat="1" applyFont="1" applyFill="1" applyBorder="1" applyAlignment="1">
      <alignment vertical="top" wrapText="1"/>
    </xf>
    <xf numFmtId="164" fontId="3" fillId="9" borderId="18" xfId="0" applyNumberFormat="1" applyFont="1" applyFill="1" applyBorder="1" applyAlignment="1">
      <alignment vertical="top" wrapText="1"/>
    </xf>
    <xf numFmtId="164" fontId="3" fillId="9" borderId="21" xfId="0" applyNumberFormat="1" applyFont="1" applyFill="1" applyBorder="1" applyAlignment="1">
      <alignment vertical="top" wrapText="1"/>
    </xf>
    <xf numFmtId="164" fontId="3" fillId="9" borderId="23" xfId="0" applyNumberFormat="1" applyFont="1" applyFill="1" applyBorder="1" applyAlignment="1">
      <alignment vertical="top" wrapText="1"/>
    </xf>
    <xf numFmtId="0" fontId="3" fillId="9" borderId="36" xfId="0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 wrapText="1"/>
    </xf>
    <xf numFmtId="0" fontId="3" fillId="9" borderId="38" xfId="0" applyFont="1" applyFill="1" applyBorder="1" applyAlignment="1">
      <alignment vertical="top" wrapText="1"/>
    </xf>
    <xf numFmtId="0" fontId="3" fillId="9" borderId="39" xfId="0" applyFont="1" applyFill="1" applyBorder="1" applyAlignment="1">
      <alignment vertical="top" wrapText="1"/>
    </xf>
    <xf numFmtId="0" fontId="3" fillId="9" borderId="40" xfId="0" applyFont="1" applyFill="1" applyBorder="1" applyAlignment="1">
      <alignment vertical="top" wrapText="1"/>
    </xf>
    <xf numFmtId="2" fontId="3" fillId="9" borderId="39" xfId="0" applyNumberFormat="1" applyFont="1" applyFill="1" applyBorder="1" applyAlignment="1">
      <alignment vertical="top" wrapText="1"/>
    </xf>
    <xf numFmtId="2" fontId="3" fillId="9" borderId="40" xfId="0" applyNumberFormat="1" applyFont="1" applyFill="1" applyBorder="1" applyAlignment="1">
      <alignment vertical="top" wrapText="1"/>
    </xf>
    <xf numFmtId="2" fontId="3" fillId="9" borderId="36" xfId="0" applyNumberFormat="1" applyFont="1" applyFill="1" applyBorder="1" applyAlignment="1">
      <alignment vertical="top" wrapText="1"/>
    </xf>
    <xf numFmtId="2" fontId="3" fillId="9" borderId="37" xfId="0" applyNumberFormat="1" applyFont="1" applyFill="1" applyBorder="1" applyAlignment="1">
      <alignment vertical="top" wrapText="1"/>
    </xf>
    <xf numFmtId="2" fontId="3" fillId="9" borderId="38" xfId="0" applyNumberFormat="1" applyFont="1" applyFill="1" applyBorder="1" applyAlignment="1">
      <alignment vertical="top" wrapText="1"/>
    </xf>
    <xf numFmtId="0" fontId="13" fillId="4" borderId="31" xfId="0" applyFont="1" applyFill="1" applyBorder="1" applyAlignment="1">
      <alignment horizontal="center" vertical="top" wrapText="1"/>
    </xf>
    <xf numFmtId="0" fontId="13" fillId="4" borderId="32" xfId="0" applyFont="1" applyFill="1" applyBorder="1" applyAlignment="1">
      <alignment horizontal="center" vertical="top" wrapText="1"/>
    </xf>
    <xf numFmtId="0" fontId="13" fillId="4" borderId="33" xfId="0" applyFont="1" applyFill="1" applyBorder="1" applyAlignment="1">
      <alignment horizontal="center" vertical="top" wrapText="1"/>
    </xf>
    <xf numFmtId="0" fontId="13" fillId="4" borderId="34" xfId="0" applyFont="1" applyFill="1" applyBorder="1" applyAlignment="1">
      <alignment horizontal="center" vertical="top" wrapText="1"/>
    </xf>
    <xf numFmtId="0" fontId="13" fillId="4" borderId="35" xfId="0" applyFont="1" applyFill="1" applyBorder="1" applyAlignment="1">
      <alignment horizontal="center" vertical="top" wrapText="1"/>
    </xf>
    <xf numFmtId="166" fontId="8" fillId="0" borderId="26" xfId="0" applyNumberFormat="1" applyFont="1" applyFill="1" applyBorder="1" applyAlignment="1">
      <alignment vertical="top" wrapText="1"/>
    </xf>
    <xf numFmtId="2" fontId="8" fillId="0" borderId="19" xfId="0" applyNumberFormat="1" applyFont="1" applyFill="1" applyBorder="1" applyAlignment="1">
      <alignment vertical="top" wrapText="1"/>
    </xf>
    <xf numFmtId="166" fontId="8" fillId="0" borderId="27" xfId="0" applyNumberFormat="1" applyFont="1" applyFill="1" applyBorder="1" applyAlignment="1">
      <alignment vertical="top" wrapText="1"/>
    </xf>
    <xf numFmtId="2" fontId="8" fillId="0" borderId="20" xfId="0" applyNumberFormat="1" applyFont="1" applyFill="1" applyBorder="1" applyAlignment="1">
      <alignment vertical="top" wrapText="1"/>
    </xf>
    <xf numFmtId="166" fontId="8" fillId="0" borderId="28" xfId="0" applyNumberFormat="1" applyFont="1" applyFill="1" applyBorder="1" applyAlignment="1">
      <alignment vertical="top" wrapText="1"/>
    </xf>
    <xf numFmtId="2" fontId="8" fillId="0" borderId="22" xfId="0" applyNumberFormat="1" applyFont="1" applyFill="1" applyBorder="1" applyAlignment="1">
      <alignment vertical="top" wrapText="1"/>
    </xf>
    <xf numFmtId="166" fontId="8" fillId="0" borderId="29" xfId="0" applyNumberFormat="1" applyFont="1" applyFill="1" applyBorder="1" applyAlignment="1">
      <alignment vertical="top" wrapText="1"/>
    </xf>
    <xf numFmtId="2" fontId="8" fillId="0" borderId="24" xfId="0" applyNumberFormat="1" applyFont="1" applyFill="1" applyBorder="1" applyAlignment="1">
      <alignment vertical="top" wrapText="1"/>
    </xf>
    <xf numFmtId="166" fontId="8" fillId="0" borderId="30" xfId="0" applyNumberFormat="1" applyFont="1" applyFill="1" applyBorder="1" applyAlignment="1">
      <alignment vertical="top" wrapText="1"/>
    </xf>
    <xf numFmtId="2" fontId="8" fillId="0" borderId="25" xfId="0" applyNumberFormat="1" applyFont="1" applyFill="1" applyBorder="1" applyAlignment="1">
      <alignment vertical="top" wrapText="1"/>
    </xf>
    <xf numFmtId="0" fontId="0" fillId="4" borderId="10" xfId="0" applyFont="1" applyFill="1" applyBorder="1"/>
    <xf numFmtId="0" fontId="0" fillId="4" borderId="9" xfId="0" applyFont="1" applyFill="1" applyBorder="1"/>
    <xf numFmtId="0" fontId="0" fillId="4" borderId="0" xfId="0" applyFont="1" applyFill="1" applyBorder="1"/>
    <xf numFmtId="0" fontId="0" fillId="4" borderId="8" xfId="0" applyFont="1" applyFill="1" applyBorder="1"/>
    <xf numFmtId="0" fontId="0" fillId="4" borderId="7" xfId="0" applyFont="1" applyFill="1" applyBorder="1"/>
    <xf numFmtId="0" fontId="0" fillId="4" borderId="4" xfId="0" applyFont="1" applyFill="1" applyBorder="1"/>
    <xf numFmtId="0" fontId="3" fillId="4" borderId="14" xfId="0" applyFont="1" applyFill="1" applyBorder="1" applyAlignment="1">
      <alignment vertical="top" wrapText="1"/>
    </xf>
    <xf numFmtId="2" fontId="3" fillId="4" borderId="14" xfId="0" applyNumberFormat="1" applyFont="1" applyFill="1" applyBorder="1" applyAlignment="1">
      <alignment vertical="top" wrapText="1"/>
    </xf>
    <xf numFmtId="164" fontId="3" fillId="4" borderId="14" xfId="0" applyNumberFormat="1" applyFont="1" applyFill="1" applyBorder="1" applyAlignment="1">
      <alignment vertical="top" wrapText="1"/>
    </xf>
    <xf numFmtId="166" fontId="8" fillId="4" borderId="14" xfId="0" applyNumberFormat="1" applyFont="1" applyFill="1" applyBorder="1" applyAlignment="1">
      <alignment vertical="top" wrapText="1"/>
    </xf>
    <xf numFmtId="2" fontId="8" fillId="4" borderId="15" xfId="0" applyNumberFormat="1" applyFont="1" applyFill="1" applyBorder="1" applyAlignment="1">
      <alignment vertical="top" wrapText="1"/>
    </xf>
    <xf numFmtId="0" fontId="10" fillId="4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13" fillId="4" borderId="42" xfId="0" applyFont="1" applyFill="1" applyBorder="1" applyAlignment="1">
      <alignment horizontal="center" vertical="top" wrapText="1"/>
    </xf>
    <xf numFmtId="0" fontId="13" fillId="4" borderId="41" xfId="0" applyFont="1" applyFill="1" applyBorder="1" applyAlignment="1">
      <alignment horizontal="center" vertical="top" wrapText="1"/>
    </xf>
    <xf numFmtId="0" fontId="2" fillId="0" borderId="13" xfId="0" applyFont="1" applyBorder="1"/>
    <xf numFmtId="0" fontId="5" fillId="0" borderId="14" xfId="1" applyBorder="1"/>
    <xf numFmtId="0" fontId="0" fillId="0" borderId="15" xfId="0" applyFont="1" applyBorder="1"/>
    <xf numFmtId="0" fontId="7" fillId="3" borderId="8" xfId="0" applyFont="1" applyFill="1" applyBorder="1"/>
    <xf numFmtId="0" fontId="7" fillId="3" borderId="7" xfId="0" applyFont="1" applyFill="1" applyBorder="1"/>
    <xf numFmtId="0" fontId="7" fillId="3" borderId="4" xfId="0" applyFont="1" applyFill="1" applyBorder="1"/>
    <xf numFmtId="0" fontId="9" fillId="3" borderId="0" xfId="0" applyFont="1" applyFill="1" applyBorder="1" applyAlignment="1" applyProtection="1">
      <protection locked="0"/>
    </xf>
    <xf numFmtId="0" fontId="9" fillId="3" borderId="10" xfId="0" applyFont="1" applyFill="1" applyBorder="1" applyAlignment="1" applyProtection="1">
      <protection locked="0"/>
    </xf>
    <xf numFmtId="0" fontId="7" fillId="3" borderId="0" xfId="0" applyFont="1" applyFill="1" applyBorder="1"/>
    <xf numFmtId="0" fontId="7" fillId="3" borderId="9" xfId="0" applyFont="1" applyFill="1" applyBorder="1"/>
    <xf numFmtId="0" fontId="15" fillId="0" borderId="14" xfId="0" applyFont="1" applyBorder="1" applyAlignment="1"/>
    <xf numFmtId="0" fontId="9" fillId="0" borderId="5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ont="1" applyFill="1" applyBorder="1"/>
    <xf numFmtId="0" fontId="0" fillId="3" borderId="9" xfId="0" applyFont="1" applyFill="1" applyBorder="1"/>
    <xf numFmtId="0" fontId="6" fillId="3" borderId="10" xfId="0" applyFont="1" applyFill="1" applyBorder="1" applyAlignment="1">
      <alignment vertical="center"/>
    </xf>
    <xf numFmtId="0" fontId="6" fillId="3" borderId="10" xfId="4" applyFont="1" applyFill="1" applyBorder="1" applyAlignment="1"/>
    <xf numFmtId="0" fontId="7" fillId="3" borderId="10" xfId="4" applyFont="1" applyFill="1" applyBorder="1" applyAlignment="1" applyProtection="1">
      <protection locked="0"/>
    </xf>
    <xf numFmtId="0" fontId="10" fillId="3" borderId="9" xfId="0" applyFont="1" applyFill="1" applyBorder="1" applyAlignment="1">
      <alignment horizontal="center" vertical="center" wrapText="1"/>
    </xf>
    <xf numFmtId="0" fontId="0" fillId="3" borderId="10" xfId="0" applyFont="1" applyFill="1" applyBorder="1"/>
    <xf numFmtId="0" fontId="0" fillId="3" borderId="8" xfId="0" applyFont="1" applyFill="1" applyBorder="1"/>
    <xf numFmtId="0" fontId="0" fillId="3" borderId="7" xfId="0" applyFont="1" applyFill="1" applyBorder="1"/>
    <xf numFmtId="165" fontId="3" fillId="3" borderId="7" xfId="0" applyNumberFormat="1" applyFont="1" applyFill="1" applyBorder="1" applyAlignment="1">
      <alignment vertical="top" wrapText="1"/>
    </xf>
    <xf numFmtId="2" fontId="8" fillId="3" borderId="4" xfId="0" applyNumberFormat="1" applyFont="1" applyFill="1" applyBorder="1" applyAlignment="1">
      <alignment vertical="top" wrapText="1"/>
    </xf>
    <xf numFmtId="0" fontId="11" fillId="3" borderId="2" xfId="0" applyFont="1" applyFill="1" applyBorder="1" applyAlignment="1">
      <alignment horizontal="center" vertical="center" wrapText="1"/>
    </xf>
    <xf numFmtId="165" fontId="3" fillId="10" borderId="16" xfId="0" applyNumberFormat="1" applyFont="1" applyFill="1" applyBorder="1" applyAlignment="1">
      <alignment vertical="top" wrapText="1"/>
    </xf>
    <xf numFmtId="165" fontId="0" fillId="10" borderId="16" xfId="0" applyNumberFormat="1" applyFont="1" applyFill="1" applyBorder="1"/>
    <xf numFmtId="165" fontId="3" fillId="10" borderId="18" xfId="0" applyNumberFormat="1" applyFont="1" applyFill="1" applyBorder="1" applyAlignment="1">
      <alignment vertical="top" wrapText="1"/>
    </xf>
    <xf numFmtId="165" fontId="3" fillId="10" borderId="21" xfId="0" applyNumberFormat="1" applyFont="1" applyFill="1" applyBorder="1" applyAlignment="1">
      <alignment vertical="top" wrapText="1"/>
    </xf>
    <xf numFmtId="165" fontId="3" fillId="10" borderId="26" xfId="0" applyNumberFormat="1" applyFont="1" applyFill="1" applyBorder="1" applyAlignment="1">
      <alignment vertical="top" wrapText="1"/>
    </xf>
    <xf numFmtId="165" fontId="3" fillId="10" borderId="27" xfId="0" applyNumberFormat="1" applyFont="1" applyFill="1" applyBorder="1" applyAlignment="1">
      <alignment vertical="top" wrapText="1"/>
    </xf>
    <xf numFmtId="165" fontId="3" fillId="10" borderId="30" xfId="0" applyNumberFormat="1" applyFont="1" applyFill="1" applyBorder="1" applyAlignment="1">
      <alignment vertical="top" wrapText="1"/>
    </xf>
    <xf numFmtId="165" fontId="3" fillId="10" borderId="23" xfId="0" applyNumberFormat="1" applyFont="1" applyFill="1" applyBorder="1" applyAlignment="1">
      <alignment vertical="top" wrapText="1"/>
    </xf>
    <xf numFmtId="165" fontId="3" fillId="10" borderId="17" xfId="0" applyNumberFormat="1" applyFont="1" applyFill="1" applyBorder="1" applyAlignment="1">
      <alignment vertical="top" wrapText="1"/>
    </xf>
    <xf numFmtId="165" fontId="3" fillId="10" borderId="29" xfId="0" applyNumberFormat="1" applyFont="1" applyFill="1" applyBorder="1" applyAlignment="1">
      <alignment vertical="top" wrapText="1"/>
    </xf>
    <xf numFmtId="165" fontId="0" fillId="10" borderId="27" xfId="0" applyNumberFormat="1" applyFont="1" applyFill="1" applyBorder="1"/>
    <xf numFmtId="165" fontId="3" fillId="10" borderId="28" xfId="0" applyNumberFormat="1" applyFont="1" applyFill="1" applyBorder="1" applyAlignment="1">
      <alignment vertical="top" wrapText="1"/>
    </xf>
    <xf numFmtId="0" fontId="13" fillId="4" borderId="48" xfId="0" applyFont="1" applyFill="1" applyBorder="1" applyAlignment="1">
      <alignment horizontal="center" vertical="top" wrapText="1"/>
    </xf>
    <xf numFmtId="0" fontId="13" fillId="4" borderId="49" xfId="0" applyFont="1" applyFill="1" applyBorder="1" applyAlignment="1">
      <alignment horizontal="center" vertical="top" wrapText="1"/>
    </xf>
    <xf numFmtId="0" fontId="13" fillId="4" borderId="50" xfId="0" applyFont="1" applyFill="1" applyBorder="1" applyAlignment="1">
      <alignment horizontal="center" vertical="top" wrapText="1"/>
    </xf>
    <xf numFmtId="0" fontId="13" fillId="3" borderId="48" xfId="0" applyFont="1" applyFill="1" applyBorder="1" applyAlignment="1">
      <alignment horizontal="center" vertical="center" wrapText="1"/>
    </xf>
    <xf numFmtId="0" fontId="13" fillId="3" borderId="49" xfId="0" applyFont="1" applyFill="1" applyBorder="1" applyAlignment="1">
      <alignment horizontal="center" vertical="center" wrapText="1"/>
    </xf>
    <xf numFmtId="0" fontId="13" fillId="3" borderId="51" xfId="0" applyFont="1" applyFill="1" applyBorder="1" applyAlignment="1">
      <alignment horizontal="center" vertical="center" wrapText="1"/>
    </xf>
    <xf numFmtId="0" fontId="13" fillId="3" borderId="50" xfId="0" applyFont="1" applyFill="1" applyBorder="1" applyAlignment="1">
      <alignment horizontal="center" vertical="center" wrapText="1"/>
    </xf>
    <xf numFmtId="0" fontId="13" fillId="3" borderId="52" xfId="0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/>
    </xf>
    <xf numFmtId="165" fontId="0" fillId="10" borderId="26" xfId="0" applyNumberFormat="1" applyFont="1" applyFill="1" applyBorder="1"/>
    <xf numFmtId="165" fontId="0" fillId="10" borderId="18" xfId="0" applyNumberFormat="1" applyFont="1" applyFill="1" applyBorder="1"/>
    <xf numFmtId="165" fontId="0" fillId="10" borderId="28" xfId="0" applyNumberFormat="1" applyFont="1" applyFill="1" applyBorder="1"/>
    <xf numFmtId="165" fontId="0" fillId="10" borderId="21" xfId="0" applyNumberFormat="1" applyFont="1" applyFill="1" applyBorder="1"/>
    <xf numFmtId="0" fontId="0" fillId="2" borderId="0" xfId="0" applyFont="1" applyFill="1" applyBorder="1"/>
    <xf numFmtId="0" fontId="3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/>
    <xf numFmtId="0" fontId="0" fillId="2" borderId="15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8" xfId="0" applyFont="1" applyFill="1" applyBorder="1"/>
    <xf numFmtId="0" fontId="0" fillId="2" borderId="7" xfId="0" applyFont="1" applyFill="1" applyBorder="1"/>
    <xf numFmtId="0" fontId="0" fillId="2" borderId="4" xfId="0" applyFont="1" applyFill="1" applyBorder="1"/>
    <xf numFmtId="164" fontId="3" fillId="11" borderId="16" xfId="0" applyNumberFormat="1" applyFont="1" applyFill="1" applyBorder="1" applyAlignment="1">
      <alignment vertical="top" wrapText="1"/>
    </xf>
    <xf numFmtId="164" fontId="0" fillId="11" borderId="16" xfId="0" applyNumberFormat="1" applyFill="1" applyBorder="1"/>
    <xf numFmtId="164" fontId="3" fillId="11" borderId="23" xfId="0" applyNumberFormat="1" applyFont="1" applyFill="1" applyBorder="1" applyAlignment="1">
      <alignment vertical="top" wrapText="1"/>
    </xf>
    <xf numFmtId="164" fontId="3" fillId="11" borderId="17" xfId="0" applyNumberFormat="1" applyFont="1" applyFill="1" applyBorder="1" applyAlignment="1">
      <alignment vertical="top" wrapText="1"/>
    </xf>
    <xf numFmtId="164" fontId="3" fillId="11" borderId="18" xfId="0" applyNumberFormat="1" applyFont="1" applyFill="1" applyBorder="1" applyAlignment="1">
      <alignment vertical="top" wrapText="1"/>
    </xf>
    <xf numFmtId="164" fontId="3" fillId="11" borderId="21" xfId="0" applyNumberFormat="1" applyFont="1" applyFill="1" applyBorder="1" applyAlignment="1">
      <alignment vertical="top" wrapText="1"/>
    </xf>
    <xf numFmtId="164" fontId="3" fillId="11" borderId="29" xfId="0" applyNumberFormat="1" applyFont="1" applyFill="1" applyBorder="1" applyAlignment="1">
      <alignment vertical="top" wrapText="1"/>
    </xf>
    <xf numFmtId="164" fontId="3" fillId="11" borderId="30" xfId="0" applyNumberFormat="1" applyFont="1" applyFill="1" applyBorder="1" applyAlignment="1">
      <alignment vertical="top" wrapText="1"/>
    </xf>
    <xf numFmtId="164" fontId="3" fillId="11" borderId="26" xfId="0" applyNumberFormat="1" applyFont="1" applyFill="1" applyBorder="1" applyAlignment="1">
      <alignment vertical="top" wrapText="1"/>
    </xf>
    <xf numFmtId="164" fontId="3" fillId="11" borderId="27" xfId="0" applyNumberFormat="1" applyFont="1" applyFill="1" applyBorder="1" applyAlignment="1">
      <alignment vertical="top" wrapText="1"/>
    </xf>
    <xf numFmtId="164" fontId="3" fillId="11" borderId="28" xfId="0" applyNumberFormat="1" applyFont="1" applyFill="1" applyBorder="1" applyAlignment="1">
      <alignment vertical="top" wrapText="1"/>
    </xf>
    <xf numFmtId="164" fontId="0" fillId="11" borderId="18" xfId="0" applyNumberFormat="1" applyFill="1" applyBorder="1"/>
    <xf numFmtId="164" fontId="0" fillId="11" borderId="21" xfId="0" applyNumberFormat="1" applyFill="1" applyBorder="1"/>
    <xf numFmtId="0" fontId="0" fillId="0" borderId="13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4" xfId="0" applyFont="1" applyFill="1" applyBorder="1"/>
    <xf numFmtId="0" fontId="9" fillId="2" borderId="0" xfId="0" applyFont="1" applyFill="1" applyBorder="1" applyAlignment="1" applyProtection="1">
      <protection locked="0"/>
    </xf>
    <xf numFmtId="0" fontId="9" fillId="2" borderId="10" xfId="0" applyFont="1" applyFill="1" applyBorder="1" applyAlignment="1" applyProtection="1">
      <protection locked="0"/>
    </xf>
    <xf numFmtId="0" fontId="7" fillId="2" borderId="9" xfId="0" applyFont="1" applyFill="1" applyBorder="1"/>
    <xf numFmtId="0" fontId="13" fillId="3" borderId="1" xfId="0" applyFont="1" applyFill="1" applyBorder="1" applyAlignment="1">
      <alignment horizontal="center" vertical="center" wrapText="1"/>
    </xf>
    <xf numFmtId="164" fontId="0" fillId="11" borderId="26" xfId="0" applyNumberFormat="1" applyFill="1" applyBorder="1"/>
    <xf numFmtId="164" fontId="0" fillId="11" borderId="27" xfId="0" applyNumberFormat="1" applyFill="1" applyBorder="1"/>
    <xf numFmtId="164" fontId="0" fillId="11" borderId="28" xfId="0" applyNumberFormat="1" applyFill="1" applyBorder="1"/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166" fontId="8" fillId="0" borderId="59" xfId="0" applyNumberFormat="1" applyFont="1" applyFill="1" applyBorder="1" applyAlignment="1">
      <alignment vertical="top" wrapText="1"/>
    </xf>
    <xf numFmtId="2" fontId="8" fillId="0" borderId="60" xfId="0" applyNumberFormat="1" applyFont="1" applyFill="1" applyBorder="1" applyAlignment="1">
      <alignment vertical="top" wrapText="1"/>
    </xf>
    <xf numFmtId="0" fontId="3" fillId="9" borderId="27" xfId="0" applyFont="1" applyFill="1" applyBorder="1" applyAlignment="1">
      <alignment vertical="top" wrapText="1"/>
    </xf>
    <xf numFmtId="0" fontId="3" fillId="9" borderId="26" xfId="0" applyFont="1" applyFill="1" applyBorder="1" applyAlignment="1">
      <alignment vertical="top" wrapText="1"/>
    </xf>
    <xf numFmtId="0" fontId="3" fillId="9" borderId="28" xfId="0" applyFont="1" applyFill="1" applyBorder="1" applyAlignment="1">
      <alignment vertical="top" wrapText="1"/>
    </xf>
    <xf numFmtId="2" fontId="8" fillId="0" borderId="19" xfId="0" applyNumberFormat="1" applyFont="1" applyFill="1" applyBorder="1" applyAlignment="1">
      <alignment horizontal="right" vertical="center" wrapText="1"/>
    </xf>
    <xf numFmtId="2" fontId="8" fillId="0" borderId="20" xfId="0" applyNumberFormat="1" applyFont="1" applyFill="1" applyBorder="1" applyAlignment="1">
      <alignment horizontal="right" vertical="center" wrapText="1"/>
    </xf>
    <xf numFmtId="2" fontId="8" fillId="0" borderId="22" xfId="0" applyNumberFormat="1" applyFont="1" applyFill="1" applyBorder="1" applyAlignment="1">
      <alignment horizontal="right" vertical="center" wrapText="1"/>
    </xf>
    <xf numFmtId="166" fontId="8" fillId="0" borderId="36" xfId="0" applyNumberFormat="1" applyFont="1" applyFill="1" applyBorder="1" applyAlignment="1">
      <alignment vertical="top" wrapText="1"/>
    </xf>
    <xf numFmtId="166" fontId="8" fillId="0" borderId="37" xfId="0" applyNumberFormat="1" applyFont="1" applyFill="1" applyBorder="1" applyAlignment="1">
      <alignment vertical="top" wrapText="1"/>
    </xf>
    <xf numFmtId="166" fontId="8" fillId="0" borderId="38" xfId="0" applyNumberFormat="1" applyFont="1" applyFill="1" applyBorder="1" applyAlignment="1">
      <alignment vertical="top" wrapText="1"/>
    </xf>
    <xf numFmtId="2" fontId="0" fillId="9" borderId="36" xfId="0" applyNumberFormat="1" applyFill="1" applyBorder="1" applyAlignment="1">
      <alignment horizontal="right"/>
    </xf>
    <xf numFmtId="164" fontId="0" fillId="9" borderId="18" xfId="0" applyNumberFormat="1" applyFill="1" applyBorder="1" applyAlignment="1">
      <alignment horizontal="right"/>
    </xf>
    <xf numFmtId="165" fontId="0" fillId="9" borderId="19" xfId="0" applyNumberFormat="1" applyFill="1" applyBorder="1" applyAlignment="1">
      <alignment horizontal="right"/>
    </xf>
    <xf numFmtId="2" fontId="0" fillId="9" borderId="37" xfId="0" applyNumberFormat="1" applyFill="1" applyBorder="1" applyAlignment="1">
      <alignment horizontal="right"/>
    </xf>
    <xf numFmtId="164" fontId="0" fillId="9" borderId="16" xfId="0" applyNumberFormat="1" applyFill="1" applyBorder="1" applyAlignment="1">
      <alignment horizontal="right"/>
    </xf>
    <xf numFmtId="165" fontId="0" fillId="9" borderId="20" xfId="0" applyNumberFormat="1" applyFill="1" applyBorder="1" applyAlignment="1">
      <alignment horizontal="right"/>
    </xf>
    <xf numFmtId="2" fontId="0" fillId="9" borderId="38" xfId="0" applyNumberFormat="1" applyFill="1" applyBorder="1" applyAlignment="1">
      <alignment horizontal="right"/>
    </xf>
    <xf numFmtId="164" fontId="0" fillId="9" borderId="21" xfId="0" applyNumberFormat="1" applyFill="1" applyBorder="1" applyAlignment="1">
      <alignment horizontal="right"/>
    </xf>
    <xf numFmtId="165" fontId="0" fillId="9" borderId="22" xfId="0" applyNumberFormat="1" applyFill="1" applyBorder="1" applyAlignment="1">
      <alignment horizontal="right"/>
    </xf>
    <xf numFmtId="2" fontId="0" fillId="9" borderId="39" xfId="0" applyNumberFormat="1" applyFill="1" applyBorder="1" applyAlignment="1">
      <alignment horizontal="right"/>
    </xf>
    <xf numFmtId="164" fontId="0" fillId="9" borderId="17" xfId="0" applyNumberFormat="1" applyFill="1" applyBorder="1" applyAlignment="1">
      <alignment horizontal="right"/>
    </xf>
    <xf numFmtId="165" fontId="0" fillId="9" borderId="24" xfId="0" applyNumberFormat="1" applyFill="1" applyBorder="1" applyAlignment="1">
      <alignment horizontal="right"/>
    </xf>
    <xf numFmtId="2" fontId="0" fillId="9" borderId="40" xfId="0" applyNumberFormat="1" applyFill="1" applyBorder="1" applyAlignment="1">
      <alignment horizontal="right"/>
    </xf>
    <xf numFmtId="164" fontId="0" fillId="9" borderId="23" xfId="0" applyNumberFormat="1" applyFill="1" applyBorder="1" applyAlignment="1">
      <alignment horizontal="right"/>
    </xf>
    <xf numFmtId="165" fontId="0" fillId="9" borderId="25" xfId="0" applyNumberFormat="1" applyFill="1" applyBorder="1" applyAlignment="1">
      <alignment horizontal="right"/>
    </xf>
    <xf numFmtId="49" fontId="0" fillId="9" borderId="39" xfId="0" applyNumberFormat="1" applyFill="1" applyBorder="1" applyAlignment="1">
      <alignment horizontal="right" vertical="center"/>
    </xf>
    <xf numFmtId="164" fontId="0" fillId="9" borderId="17" xfId="0" applyNumberFormat="1" applyFill="1" applyBorder="1" applyAlignment="1">
      <alignment horizontal="right" vertical="center"/>
    </xf>
    <xf numFmtId="165" fontId="0" fillId="9" borderId="24" xfId="0" applyNumberFormat="1" applyFill="1" applyBorder="1" applyAlignment="1">
      <alignment horizontal="right" vertical="center"/>
    </xf>
    <xf numFmtId="49" fontId="0" fillId="9" borderId="37" xfId="0" applyNumberFormat="1" applyFill="1" applyBorder="1" applyAlignment="1">
      <alignment horizontal="right" vertical="center"/>
    </xf>
    <xf numFmtId="164" fontId="0" fillId="9" borderId="16" xfId="0" applyNumberFormat="1" applyFill="1" applyBorder="1" applyAlignment="1">
      <alignment horizontal="right" vertical="center"/>
    </xf>
    <xf numFmtId="165" fontId="0" fillId="9" borderId="20" xfId="0" applyNumberFormat="1" applyFill="1" applyBorder="1" applyAlignment="1">
      <alignment horizontal="right" vertical="center"/>
    </xf>
    <xf numFmtId="49" fontId="0" fillId="9" borderId="40" xfId="0" applyNumberFormat="1" applyFill="1" applyBorder="1" applyAlignment="1">
      <alignment horizontal="right" vertical="center"/>
    </xf>
    <xf numFmtId="164" fontId="0" fillId="9" borderId="23" xfId="0" applyNumberFormat="1" applyFill="1" applyBorder="1" applyAlignment="1">
      <alignment horizontal="right" vertical="center"/>
    </xf>
    <xf numFmtId="165" fontId="0" fillId="9" borderId="25" xfId="0" applyNumberFormat="1" applyFill="1" applyBorder="1" applyAlignment="1">
      <alignment horizontal="right" vertical="center"/>
    </xf>
    <xf numFmtId="49" fontId="0" fillId="4" borderId="48" xfId="0" applyNumberFormat="1" applyFont="1" applyFill="1" applyBorder="1" applyAlignment="1">
      <alignment horizontal="center" vertical="center"/>
    </xf>
    <xf numFmtId="49" fontId="0" fillId="4" borderId="49" xfId="0" applyNumberFormat="1" applyFont="1" applyFill="1" applyBorder="1" applyAlignment="1">
      <alignment horizontal="center" vertical="center"/>
    </xf>
    <xf numFmtId="49" fontId="0" fillId="4" borderId="50" xfId="0" applyNumberFormat="1" applyFont="1" applyFill="1" applyBorder="1" applyAlignment="1">
      <alignment horizontal="center" vertical="center"/>
    </xf>
    <xf numFmtId="49" fontId="0" fillId="4" borderId="52" xfId="0" applyNumberFormat="1" applyFont="1" applyFill="1" applyBorder="1" applyAlignment="1">
      <alignment horizontal="center" vertical="center"/>
    </xf>
    <xf numFmtId="49" fontId="0" fillId="4" borderId="51" xfId="0" applyNumberFormat="1" applyFont="1" applyFill="1" applyBorder="1" applyAlignment="1">
      <alignment horizontal="center" vertical="center"/>
    </xf>
    <xf numFmtId="165" fontId="3" fillId="9" borderId="19" xfId="0" applyNumberFormat="1" applyFont="1" applyFill="1" applyBorder="1" applyAlignment="1">
      <alignment vertical="top" wrapText="1"/>
    </xf>
    <xf numFmtId="165" fontId="3" fillId="9" borderId="20" xfId="0" applyNumberFormat="1" applyFont="1" applyFill="1" applyBorder="1" applyAlignment="1">
      <alignment vertical="top" wrapText="1"/>
    </xf>
    <xf numFmtId="165" fontId="3" fillId="9" borderId="25" xfId="0" applyNumberFormat="1" applyFont="1" applyFill="1" applyBorder="1" applyAlignment="1">
      <alignment vertical="top" wrapText="1"/>
    </xf>
    <xf numFmtId="165" fontId="3" fillId="9" borderId="58" xfId="0" applyNumberFormat="1" applyFont="1" applyFill="1" applyBorder="1" applyAlignment="1">
      <alignment vertical="top" wrapText="1"/>
    </xf>
    <xf numFmtId="165" fontId="3" fillId="9" borderId="44" xfId="0" applyNumberFormat="1" applyFont="1" applyFill="1" applyBorder="1" applyAlignment="1">
      <alignment vertical="top" wrapText="1"/>
    </xf>
    <xf numFmtId="165" fontId="3" fillId="9" borderId="46" xfId="0" applyNumberFormat="1" applyFont="1" applyFill="1" applyBorder="1" applyAlignment="1">
      <alignment vertical="top" wrapText="1"/>
    </xf>
    <xf numFmtId="165" fontId="3" fillId="9" borderId="24" xfId="0" applyNumberFormat="1" applyFont="1" applyFill="1" applyBorder="1" applyAlignment="1">
      <alignment vertical="top" wrapText="1"/>
    </xf>
    <xf numFmtId="165" fontId="3" fillId="9" borderId="22" xfId="0" applyNumberFormat="1" applyFont="1" applyFill="1" applyBorder="1" applyAlignment="1">
      <alignment vertical="top" wrapText="1"/>
    </xf>
    <xf numFmtId="166" fontId="8" fillId="0" borderId="53" xfId="0" applyNumberFormat="1" applyFont="1" applyFill="1" applyBorder="1" applyAlignment="1">
      <alignment vertical="top" wrapText="1"/>
    </xf>
    <xf numFmtId="2" fontId="8" fillId="0" borderId="64" xfId="0" applyNumberFormat="1" applyFont="1" applyFill="1" applyBorder="1" applyAlignment="1">
      <alignment vertical="top" wrapText="1"/>
    </xf>
    <xf numFmtId="166" fontId="8" fillId="0" borderId="40" xfId="0" applyNumberFormat="1" applyFont="1" applyFill="1" applyBorder="1" applyAlignment="1">
      <alignment vertical="top" wrapText="1"/>
    </xf>
    <xf numFmtId="0" fontId="1" fillId="3" borderId="48" xfId="0" applyFont="1" applyFill="1" applyBorder="1" applyAlignment="1">
      <alignment horizontal="center"/>
    </xf>
    <xf numFmtId="0" fontId="1" fillId="3" borderId="49" xfId="0" applyFont="1" applyFill="1" applyBorder="1" applyAlignment="1">
      <alignment horizontal="center"/>
    </xf>
    <xf numFmtId="0" fontId="1" fillId="3" borderId="50" xfId="0" applyFont="1" applyFill="1" applyBorder="1" applyAlignment="1">
      <alignment horizontal="center"/>
    </xf>
    <xf numFmtId="0" fontId="1" fillId="3" borderId="52" xfId="0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0" fillId="10" borderId="26" xfId="0" applyFont="1" applyFill="1" applyBorder="1"/>
    <xf numFmtId="0" fontId="0" fillId="10" borderId="18" xfId="0" applyFont="1" applyFill="1" applyBorder="1"/>
    <xf numFmtId="0" fontId="0" fillId="10" borderId="27" xfId="0" applyFont="1" applyFill="1" applyBorder="1"/>
    <xf numFmtId="0" fontId="0" fillId="10" borderId="16" xfId="0" applyFont="1" applyFill="1" applyBorder="1"/>
    <xf numFmtId="0" fontId="0" fillId="10" borderId="28" xfId="0" applyFont="1" applyFill="1" applyBorder="1"/>
    <xf numFmtId="0" fontId="0" fillId="10" borderId="21" xfId="0" applyFont="1" applyFill="1" applyBorder="1"/>
    <xf numFmtId="0" fontId="0" fillId="10" borderId="29" xfId="0" applyFont="1" applyFill="1" applyBorder="1"/>
    <xf numFmtId="0" fontId="0" fillId="10" borderId="17" xfId="0" applyFont="1" applyFill="1" applyBorder="1"/>
    <xf numFmtId="0" fontId="0" fillId="10" borderId="30" xfId="0" applyFont="1" applyFill="1" applyBorder="1"/>
    <xf numFmtId="0" fontId="0" fillId="10" borderId="23" xfId="0" applyFont="1" applyFill="1" applyBorder="1"/>
    <xf numFmtId="0" fontId="11" fillId="2" borderId="10" xfId="0" applyFont="1" applyFill="1" applyBorder="1" applyAlignment="1">
      <alignment horizontal="center" vertical="center"/>
    </xf>
    <xf numFmtId="165" fontId="3" fillId="11" borderId="58" xfId="0" applyNumberFormat="1" applyFont="1" applyFill="1" applyBorder="1" applyAlignment="1">
      <alignment vertical="top" wrapText="1"/>
    </xf>
    <xf numFmtId="165" fontId="3" fillId="11" borderId="44" xfId="0" applyNumberFormat="1" applyFont="1" applyFill="1" applyBorder="1" applyAlignment="1">
      <alignment vertical="top" wrapText="1"/>
    </xf>
    <xf numFmtId="165" fontId="3" fillId="11" borderId="57" xfId="0" applyNumberFormat="1" applyFont="1" applyFill="1" applyBorder="1" applyAlignment="1">
      <alignment vertical="top" wrapText="1"/>
    </xf>
    <xf numFmtId="167" fontId="8" fillId="0" borderId="48" xfId="0" applyNumberFormat="1" applyFont="1" applyFill="1" applyBorder="1" applyAlignment="1">
      <alignment horizontal="right" vertical="center" wrapText="1"/>
    </xf>
    <xf numFmtId="167" fontId="8" fillId="0" borderId="49" xfId="0" applyNumberFormat="1" applyFont="1" applyFill="1" applyBorder="1" applyAlignment="1">
      <alignment horizontal="right" vertical="center" wrapText="1"/>
    </xf>
    <xf numFmtId="167" fontId="8" fillId="0" borderId="51" xfId="0" applyNumberFormat="1" applyFont="1" applyFill="1" applyBorder="1" applyAlignment="1">
      <alignment horizontal="right" vertical="center" wrapText="1"/>
    </xf>
    <xf numFmtId="167" fontId="8" fillId="0" borderId="50" xfId="0" applyNumberFormat="1" applyFont="1" applyFill="1" applyBorder="1" applyAlignment="1">
      <alignment horizontal="right" vertical="center" wrapText="1"/>
    </xf>
    <xf numFmtId="167" fontId="8" fillId="0" borderId="52" xfId="0" applyNumberFormat="1" applyFont="1" applyFill="1" applyBorder="1" applyAlignment="1">
      <alignment horizontal="right" vertical="center" wrapText="1"/>
    </xf>
    <xf numFmtId="165" fontId="3" fillId="11" borderId="56" xfId="0" applyNumberFormat="1" applyFont="1" applyFill="1" applyBorder="1" applyAlignment="1">
      <alignment vertical="top" wrapText="1"/>
    </xf>
    <xf numFmtId="165" fontId="3" fillId="11" borderId="46" xfId="0" applyNumberFormat="1" applyFont="1" applyFill="1" applyBorder="1" applyAlignment="1">
      <alignment vertical="top" wrapText="1"/>
    </xf>
    <xf numFmtId="165" fontId="0" fillId="11" borderId="58" xfId="0" applyNumberFormat="1" applyFont="1" applyFill="1" applyBorder="1"/>
    <xf numFmtId="165" fontId="0" fillId="11" borderId="44" xfId="0" applyNumberFormat="1" applyFont="1" applyFill="1" applyBorder="1"/>
    <xf numFmtId="165" fontId="0" fillId="11" borderId="46" xfId="0" applyNumberFormat="1" applyFont="1" applyFill="1" applyBorder="1"/>
    <xf numFmtId="165" fontId="0" fillId="11" borderId="56" xfId="0" applyNumberFormat="1" applyFont="1" applyFill="1" applyBorder="1"/>
    <xf numFmtId="0" fontId="13" fillId="2" borderId="48" xfId="0" applyFont="1" applyFill="1" applyBorder="1" applyAlignment="1">
      <alignment horizontal="center" vertical="top" wrapText="1"/>
    </xf>
    <xf numFmtId="0" fontId="13" fillId="2" borderId="50" xfId="0" applyFont="1" applyFill="1" applyBorder="1" applyAlignment="1">
      <alignment horizontal="center" vertical="top" wrapText="1"/>
    </xf>
    <xf numFmtId="0" fontId="13" fillId="2" borderId="52" xfId="0" applyFont="1" applyFill="1" applyBorder="1" applyAlignment="1">
      <alignment horizontal="center" vertical="top" wrapText="1"/>
    </xf>
    <xf numFmtId="0" fontId="13" fillId="2" borderId="49" xfId="0" applyFont="1" applyFill="1" applyBorder="1" applyAlignment="1">
      <alignment horizontal="center" vertical="top" wrapText="1"/>
    </xf>
    <xf numFmtId="0" fontId="13" fillId="2" borderId="51" xfId="0" applyFont="1" applyFill="1" applyBorder="1" applyAlignment="1">
      <alignment horizontal="center" vertical="top" wrapText="1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164" fontId="0" fillId="11" borderId="36" xfId="0" applyNumberFormat="1" applyFont="1" applyFill="1" applyBorder="1"/>
    <xf numFmtId="164" fontId="0" fillId="11" borderId="18" xfId="0" applyNumberFormat="1" applyFont="1" applyFill="1" applyBorder="1"/>
    <xf numFmtId="164" fontId="0" fillId="11" borderId="37" xfId="0" applyNumberFormat="1" applyFont="1" applyFill="1" applyBorder="1"/>
    <xf numFmtId="164" fontId="0" fillId="11" borderId="16" xfId="0" applyNumberFormat="1" applyFont="1" applyFill="1" applyBorder="1"/>
    <xf numFmtId="164" fontId="0" fillId="11" borderId="38" xfId="0" applyNumberFormat="1" applyFont="1" applyFill="1" applyBorder="1"/>
    <xf numFmtId="164" fontId="0" fillId="11" borderId="21" xfId="0" applyNumberFormat="1" applyFont="1" applyFill="1" applyBorder="1"/>
    <xf numFmtId="164" fontId="0" fillId="11" borderId="39" xfId="0" applyNumberFormat="1" applyFont="1" applyFill="1" applyBorder="1"/>
    <xf numFmtId="164" fontId="0" fillId="11" borderId="17" xfId="0" applyNumberFormat="1" applyFont="1" applyFill="1" applyBorder="1"/>
    <xf numFmtId="164" fontId="0" fillId="11" borderId="40" xfId="0" applyNumberFormat="1" applyFont="1" applyFill="1" applyBorder="1"/>
    <xf numFmtId="164" fontId="0" fillId="11" borderId="23" xfId="0" applyNumberFormat="1" applyFont="1" applyFill="1" applyBorder="1"/>
    <xf numFmtId="165" fontId="0" fillId="11" borderId="57" xfId="0" applyNumberFormat="1" applyFont="1" applyFill="1" applyBorder="1"/>
    <xf numFmtId="164" fontId="0" fillId="11" borderId="26" xfId="0" applyNumberFormat="1" applyFont="1" applyFill="1" applyBorder="1"/>
    <xf numFmtId="164" fontId="0" fillId="11" borderId="27" xfId="0" applyNumberFormat="1" applyFont="1" applyFill="1" applyBorder="1"/>
    <xf numFmtId="164" fontId="0" fillId="11" borderId="30" xfId="0" applyNumberFormat="1" applyFont="1" applyFill="1" applyBorder="1"/>
    <xf numFmtId="164" fontId="0" fillId="11" borderId="28" xfId="0" applyNumberFormat="1" applyFont="1" applyFill="1" applyBorder="1"/>
    <xf numFmtId="164" fontId="0" fillId="11" borderId="29" xfId="0" applyNumberFormat="1" applyFont="1" applyFill="1" applyBorder="1"/>
    <xf numFmtId="2" fontId="8" fillId="0" borderId="19" xfId="0" applyNumberFormat="1" applyFont="1" applyBorder="1" applyAlignment="1">
      <alignment horizontal="right" vertical="center" wrapText="1"/>
    </xf>
    <xf numFmtId="2" fontId="8" fillId="0" borderId="20" xfId="0" applyNumberFormat="1" applyFont="1" applyBorder="1" applyAlignment="1">
      <alignment horizontal="right" vertical="center" wrapText="1"/>
    </xf>
    <xf numFmtId="2" fontId="8" fillId="0" borderId="22" xfId="0" applyNumberFormat="1" applyFont="1" applyBorder="1" applyAlignment="1">
      <alignment horizontal="right" vertical="center" wrapText="1"/>
    </xf>
    <xf numFmtId="2" fontId="8" fillId="0" borderId="24" xfId="0" applyNumberFormat="1" applyFont="1" applyBorder="1" applyAlignment="1">
      <alignment horizontal="right" vertical="center" wrapText="1"/>
    </xf>
    <xf numFmtId="2" fontId="8" fillId="0" borderId="25" xfId="0" applyNumberFormat="1" applyFont="1" applyBorder="1" applyAlignment="1">
      <alignment horizontal="right" vertical="center" wrapText="1"/>
    </xf>
    <xf numFmtId="10" fontId="8" fillId="0" borderId="36" xfId="0" applyNumberFormat="1" applyFont="1" applyBorder="1" applyAlignment="1">
      <alignment horizontal="right" vertical="center" wrapText="1"/>
    </xf>
    <xf numFmtId="10" fontId="8" fillId="0" borderId="37" xfId="0" applyNumberFormat="1" applyFont="1" applyBorder="1" applyAlignment="1">
      <alignment horizontal="right" vertical="center" wrapText="1"/>
    </xf>
    <xf numFmtId="10" fontId="8" fillId="0" borderId="38" xfId="0" applyNumberFormat="1" applyFont="1" applyBorder="1" applyAlignment="1">
      <alignment horizontal="right" wrapText="1"/>
    </xf>
    <xf numFmtId="10" fontId="8" fillId="0" borderId="39" xfId="0" applyNumberFormat="1" applyFont="1" applyBorder="1" applyAlignment="1">
      <alignment horizontal="right" vertical="center" wrapText="1"/>
    </xf>
    <xf numFmtId="10" fontId="8" fillId="0" borderId="40" xfId="0" applyNumberFormat="1" applyFont="1" applyBorder="1" applyAlignment="1">
      <alignment horizontal="right" vertical="center" wrapText="1"/>
    </xf>
    <xf numFmtId="10" fontId="8" fillId="0" borderId="38" xfId="0" applyNumberFormat="1" applyFont="1" applyBorder="1" applyAlignment="1">
      <alignment horizontal="right" vertical="center" wrapText="1"/>
    </xf>
    <xf numFmtId="0" fontId="7" fillId="12" borderId="0" xfId="0" applyFont="1" applyFill="1" applyBorder="1"/>
    <xf numFmtId="0" fontId="7" fillId="12" borderId="10" xfId="0" applyFont="1" applyFill="1" applyBorder="1"/>
    <xf numFmtId="0" fontId="9" fillId="12" borderId="0" xfId="0" applyFont="1" applyFill="1" applyBorder="1" applyAlignment="1" applyProtection="1">
      <protection locked="0"/>
    </xf>
    <xf numFmtId="0" fontId="6" fillId="12" borderId="14" xfId="0" applyFont="1" applyFill="1" applyBorder="1" applyAlignment="1"/>
    <xf numFmtId="0" fontId="0" fillId="12" borderId="13" xfId="0" applyFont="1" applyFill="1" applyBorder="1"/>
    <xf numFmtId="0" fontId="7" fillId="12" borderId="14" xfId="0" applyFont="1" applyFill="1" applyBorder="1"/>
    <xf numFmtId="0" fontId="7" fillId="12" borderId="15" xfId="0" applyFont="1" applyFill="1" applyBorder="1"/>
    <xf numFmtId="0" fontId="7" fillId="12" borderId="9" xfId="0" applyFont="1" applyFill="1" applyBorder="1"/>
    <xf numFmtId="0" fontId="9" fillId="12" borderId="8" xfId="0" applyFont="1" applyFill="1" applyBorder="1" applyAlignment="1" applyProtection="1">
      <protection locked="0"/>
    </xf>
    <xf numFmtId="0" fontId="9" fillId="12" borderId="7" xfId="0" applyFont="1" applyFill="1" applyBorder="1" applyAlignment="1" applyProtection="1">
      <protection locked="0"/>
    </xf>
    <xf numFmtId="0" fontId="7" fillId="12" borderId="7" xfId="0" applyFont="1" applyFill="1" applyBorder="1"/>
    <xf numFmtId="0" fontId="7" fillId="12" borderId="4" xfId="0" applyFont="1" applyFill="1" applyBorder="1"/>
    <xf numFmtId="0" fontId="7" fillId="0" borderId="13" xfId="0" applyFont="1" applyBorder="1"/>
    <xf numFmtId="0" fontId="6" fillId="0" borderId="8" xfId="0" applyFont="1" applyBorder="1"/>
    <xf numFmtId="0" fontId="7" fillId="0" borderId="7" xfId="0" applyFont="1" applyBorder="1"/>
    <xf numFmtId="0" fontId="7" fillId="0" borderId="4" xfId="0" applyFont="1" applyBorder="1"/>
    <xf numFmtId="0" fontId="13" fillId="12" borderId="48" xfId="0" applyFont="1" applyFill="1" applyBorder="1" applyAlignment="1">
      <alignment horizontal="center" vertical="top" wrapText="1"/>
    </xf>
    <xf numFmtId="0" fontId="13" fillId="12" borderId="49" xfId="0" applyFont="1" applyFill="1" applyBorder="1" applyAlignment="1">
      <alignment horizontal="center" vertical="top" wrapText="1"/>
    </xf>
    <xf numFmtId="0" fontId="13" fillId="12" borderId="50" xfId="0" applyFont="1" applyFill="1" applyBorder="1" applyAlignment="1">
      <alignment horizontal="center" vertical="top" wrapText="1"/>
    </xf>
    <xf numFmtId="0" fontId="13" fillId="12" borderId="52" xfId="0" applyFont="1" applyFill="1" applyBorder="1" applyAlignment="1">
      <alignment horizontal="center" vertical="top" wrapText="1"/>
    </xf>
    <xf numFmtId="0" fontId="13" fillId="12" borderId="51" xfId="0" applyFont="1" applyFill="1" applyBorder="1" applyAlignment="1">
      <alignment horizontal="center" vertical="top" wrapText="1"/>
    </xf>
    <xf numFmtId="0" fontId="3" fillId="13" borderId="26" xfId="0" applyNumberFormat="1" applyFont="1" applyFill="1" applyBorder="1" applyAlignment="1">
      <alignment vertical="top" wrapText="1"/>
    </xf>
    <xf numFmtId="164" fontId="3" fillId="13" borderId="18" xfId="0" applyNumberFormat="1" applyFont="1" applyFill="1" applyBorder="1" applyAlignment="1">
      <alignment vertical="top" wrapText="1"/>
    </xf>
    <xf numFmtId="164" fontId="3" fillId="13" borderId="58" xfId="0" applyNumberFormat="1" applyFont="1" applyFill="1" applyBorder="1" applyAlignment="1">
      <alignment vertical="top" wrapText="1"/>
    </xf>
    <xf numFmtId="0" fontId="3" fillId="13" borderId="27" xfId="0" applyNumberFormat="1" applyFont="1" applyFill="1" applyBorder="1" applyAlignment="1">
      <alignment vertical="top" wrapText="1"/>
    </xf>
    <xf numFmtId="164" fontId="3" fillId="13" borderId="16" xfId="0" applyNumberFormat="1" applyFont="1" applyFill="1" applyBorder="1" applyAlignment="1">
      <alignment vertical="top" wrapText="1"/>
    </xf>
    <xf numFmtId="164" fontId="3" fillId="13" borderId="44" xfId="0" applyNumberFormat="1" applyFont="1" applyFill="1" applyBorder="1" applyAlignment="1">
      <alignment vertical="top" wrapText="1"/>
    </xf>
    <xf numFmtId="0" fontId="3" fillId="13" borderId="28" xfId="0" applyNumberFormat="1" applyFont="1" applyFill="1" applyBorder="1" applyAlignment="1">
      <alignment vertical="top" wrapText="1"/>
    </xf>
    <xf numFmtId="164" fontId="3" fillId="13" borderId="21" xfId="0" applyNumberFormat="1" applyFont="1" applyFill="1" applyBorder="1" applyAlignment="1">
      <alignment vertical="top" wrapText="1"/>
    </xf>
    <xf numFmtId="164" fontId="3" fillId="13" borderId="46" xfId="0" applyNumberFormat="1" applyFont="1" applyFill="1" applyBorder="1" applyAlignment="1">
      <alignment vertical="top" wrapText="1"/>
    </xf>
    <xf numFmtId="0" fontId="3" fillId="13" borderId="29" xfId="0" applyNumberFormat="1" applyFont="1" applyFill="1" applyBorder="1" applyAlignment="1">
      <alignment vertical="top" wrapText="1"/>
    </xf>
    <xf numFmtId="164" fontId="3" fillId="13" borderId="17" xfId="0" applyNumberFormat="1" applyFont="1" applyFill="1" applyBorder="1" applyAlignment="1">
      <alignment vertical="top" wrapText="1"/>
    </xf>
    <xf numFmtId="164" fontId="3" fillId="13" borderId="56" xfId="0" applyNumberFormat="1" applyFont="1" applyFill="1" applyBorder="1" applyAlignment="1">
      <alignment vertical="top" wrapText="1"/>
    </xf>
    <xf numFmtId="0" fontId="3" fillId="13" borderId="30" xfId="0" applyNumberFormat="1" applyFont="1" applyFill="1" applyBorder="1" applyAlignment="1">
      <alignment vertical="top" wrapText="1"/>
    </xf>
    <xf numFmtId="164" fontId="3" fillId="13" borderId="23" xfId="0" applyNumberFormat="1" applyFont="1" applyFill="1" applyBorder="1" applyAlignment="1">
      <alignment vertical="top" wrapText="1"/>
    </xf>
    <xf numFmtId="164" fontId="3" fillId="13" borderId="57" xfId="0" applyNumberFormat="1" applyFont="1" applyFill="1" applyBorder="1" applyAlignment="1">
      <alignment vertical="top" wrapText="1"/>
    </xf>
    <xf numFmtId="164" fontId="3" fillId="13" borderId="26" xfId="0" applyNumberFormat="1" applyFont="1" applyFill="1" applyBorder="1" applyAlignment="1">
      <alignment vertical="top" wrapText="1"/>
    </xf>
    <xf numFmtId="164" fontId="3" fillId="13" borderId="27" xfId="0" applyNumberFormat="1" applyFont="1" applyFill="1" applyBorder="1" applyAlignment="1">
      <alignment vertical="top" wrapText="1"/>
    </xf>
    <xf numFmtId="164" fontId="3" fillId="13" borderId="28" xfId="0" applyNumberFormat="1" applyFont="1" applyFill="1" applyBorder="1" applyAlignment="1">
      <alignment vertical="top" wrapText="1"/>
    </xf>
    <xf numFmtId="0" fontId="1" fillId="0" borderId="8" xfId="0" applyFont="1" applyBorder="1"/>
    <xf numFmtId="0" fontId="0" fillId="0" borderId="7" xfId="0" applyFont="1" applyFill="1" applyBorder="1"/>
    <xf numFmtId="0" fontId="7" fillId="14" borderId="13" xfId="0" applyFont="1" applyFill="1" applyBorder="1"/>
    <xf numFmtId="0" fontId="6" fillId="14" borderId="14" xfId="0" applyFont="1" applyFill="1" applyBorder="1" applyAlignment="1"/>
    <xf numFmtId="0" fontId="7" fillId="14" borderId="14" xfId="0" applyFont="1" applyFill="1" applyBorder="1"/>
    <xf numFmtId="0" fontId="7" fillId="14" borderId="15" xfId="0" applyFont="1" applyFill="1" applyBorder="1"/>
    <xf numFmtId="0" fontId="7" fillId="14" borderId="9" xfId="0" applyFont="1" applyFill="1" applyBorder="1"/>
    <xf numFmtId="0" fontId="9" fillId="14" borderId="0" xfId="0" applyFont="1" applyFill="1" applyBorder="1" applyAlignment="1" applyProtection="1">
      <protection locked="0"/>
    </xf>
    <xf numFmtId="0" fontId="7" fillId="14" borderId="0" xfId="0" applyFont="1" applyFill="1" applyBorder="1"/>
    <xf numFmtId="0" fontId="7" fillId="14" borderId="10" xfId="0" applyFont="1" applyFill="1" applyBorder="1"/>
    <xf numFmtId="0" fontId="7" fillId="14" borderId="8" xfId="0" applyFont="1" applyFill="1" applyBorder="1"/>
    <xf numFmtId="0" fontId="9" fillId="14" borderId="7" xfId="0" applyFont="1" applyFill="1" applyBorder="1" applyAlignment="1" applyProtection="1">
      <protection locked="0"/>
    </xf>
    <xf numFmtId="0" fontId="7" fillId="14" borderId="7" xfId="0" applyFont="1" applyFill="1" applyBorder="1"/>
    <xf numFmtId="0" fontId="7" fillId="14" borderId="4" xfId="0" applyFont="1" applyFill="1" applyBorder="1"/>
    <xf numFmtId="0" fontId="11" fillId="14" borderId="9" xfId="0" applyFont="1" applyFill="1" applyBorder="1" applyAlignment="1">
      <alignment horizontal="center" vertical="center"/>
    </xf>
    <xf numFmtId="164" fontId="3" fillId="15" borderId="16" xfId="0" applyNumberFormat="1" applyFont="1" applyFill="1" applyBorder="1" applyAlignment="1">
      <alignment vertical="top" wrapText="1"/>
    </xf>
    <xf numFmtId="0" fontId="3" fillId="15" borderId="16" xfId="0" applyNumberFormat="1" applyFont="1" applyFill="1" applyBorder="1" applyAlignment="1">
      <alignment vertical="top" wrapText="1"/>
    </xf>
    <xf numFmtId="164" fontId="3" fillId="15" borderId="23" xfId="0" applyNumberFormat="1" applyFont="1" applyFill="1" applyBorder="1" applyAlignment="1">
      <alignment vertical="top" wrapText="1"/>
    </xf>
    <xf numFmtId="0" fontId="3" fillId="15" borderId="23" xfId="0" applyNumberFormat="1" applyFont="1" applyFill="1" applyBorder="1" applyAlignment="1">
      <alignment vertical="top" wrapText="1"/>
    </xf>
    <xf numFmtId="164" fontId="3" fillId="15" borderId="17" xfId="0" applyNumberFormat="1" applyFont="1" applyFill="1" applyBorder="1" applyAlignment="1">
      <alignment vertical="top" wrapText="1"/>
    </xf>
    <xf numFmtId="164" fontId="3" fillId="15" borderId="18" xfId="0" applyNumberFormat="1" applyFont="1" applyFill="1" applyBorder="1" applyAlignment="1">
      <alignment vertical="top" wrapText="1"/>
    </xf>
    <xf numFmtId="0" fontId="3" fillId="15" borderId="18" xfId="0" applyNumberFormat="1" applyFont="1" applyFill="1" applyBorder="1" applyAlignment="1">
      <alignment vertical="top" wrapText="1"/>
    </xf>
    <xf numFmtId="164" fontId="3" fillId="15" borderId="21" xfId="0" applyNumberFormat="1" applyFont="1" applyFill="1" applyBorder="1" applyAlignment="1">
      <alignment vertical="top" wrapText="1"/>
    </xf>
    <xf numFmtId="0" fontId="3" fillId="15" borderId="21" xfId="0" applyNumberFormat="1" applyFont="1" applyFill="1" applyBorder="1" applyAlignment="1">
      <alignment vertical="top" wrapText="1"/>
    </xf>
    <xf numFmtId="2" fontId="8" fillId="0" borderId="25" xfId="0" applyNumberFormat="1" applyFont="1" applyFill="1" applyBorder="1" applyAlignment="1">
      <alignment horizontal="right" vertical="center" wrapText="1"/>
    </xf>
    <xf numFmtId="2" fontId="8" fillId="0" borderId="24" xfId="0" applyNumberFormat="1" applyFont="1" applyFill="1" applyBorder="1" applyAlignment="1">
      <alignment horizontal="right" vertical="center" wrapText="1"/>
    </xf>
    <xf numFmtId="164" fontId="3" fillId="15" borderId="26" xfId="0" applyNumberFormat="1" applyFont="1" applyFill="1" applyBorder="1" applyAlignment="1">
      <alignment vertical="top" wrapText="1"/>
    </xf>
    <xf numFmtId="164" fontId="3" fillId="15" borderId="27" xfId="0" applyNumberFormat="1" applyFont="1" applyFill="1" applyBorder="1" applyAlignment="1">
      <alignment vertical="top" wrapText="1"/>
    </xf>
    <xf numFmtId="164" fontId="3" fillId="15" borderId="30" xfId="0" applyNumberFormat="1" applyFont="1" applyFill="1" applyBorder="1" applyAlignment="1">
      <alignment vertical="top" wrapText="1"/>
    </xf>
    <xf numFmtId="164" fontId="3" fillId="15" borderId="28" xfId="0" applyNumberFormat="1" applyFont="1" applyFill="1" applyBorder="1" applyAlignment="1">
      <alignment vertical="top" wrapText="1"/>
    </xf>
    <xf numFmtId="164" fontId="3" fillId="15" borderId="29" xfId="0" applyNumberFormat="1" applyFont="1" applyFill="1" applyBorder="1" applyAlignment="1">
      <alignment vertical="top" wrapText="1"/>
    </xf>
    <xf numFmtId="0" fontId="13" fillId="15" borderId="48" xfId="0" applyFont="1" applyFill="1" applyBorder="1" applyAlignment="1">
      <alignment horizontal="center" vertical="top" wrapText="1"/>
    </xf>
    <xf numFmtId="0" fontId="13" fillId="15" borderId="49" xfId="0" applyFont="1" applyFill="1" applyBorder="1" applyAlignment="1">
      <alignment horizontal="center" vertical="top" wrapText="1"/>
    </xf>
    <xf numFmtId="0" fontId="13" fillId="15" borderId="51" xfId="0" applyFont="1" applyFill="1" applyBorder="1" applyAlignment="1">
      <alignment horizontal="center" vertical="top" wrapText="1"/>
    </xf>
    <xf numFmtId="0" fontId="13" fillId="15" borderId="50" xfId="0" applyFont="1" applyFill="1" applyBorder="1" applyAlignment="1">
      <alignment horizontal="center" vertical="top" wrapText="1"/>
    </xf>
    <xf numFmtId="0" fontId="13" fillId="15" borderId="52" xfId="0" applyFont="1" applyFill="1" applyBorder="1" applyAlignment="1">
      <alignment horizontal="center" vertical="top" wrapText="1"/>
    </xf>
    <xf numFmtId="0" fontId="3" fillId="15" borderId="58" xfId="0" applyNumberFormat="1" applyFont="1" applyFill="1" applyBorder="1" applyAlignment="1">
      <alignment vertical="top" wrapText="1"/>
    </xf>
    <xf numFmtId="0" fontId="3" fillId="15" borderId="44" xfId="0" applyNumberFormat="1" applyFont="1" applyFill="1" applyBorder="1" applyAlignment="1">
      <alignment vertical="top" wrapText="1"/>
    </xf>
    <xf numFmtId="0" fontId="3" fillId="15" borderId="57" xfId="0" applyNumberFormat="1" applyFont="1" applyFill="1" applyBorder="1" applyAlignment="1">
      <alignment vertical="top" wrapText="1"/>
    </xf>
    <xf numFmtId="0" fontId="3" fillId="15" borderId="46" xfId="0" applyNumberFormat="1" applyFont="1" applyFill="1" applyBorder="1" applyAlignment="1">
      <alignment vertical="top" wrapText="1"/>
    </xf>
    <xf numFmtId="164" fontId="3" fillId="15" borderId="56" xfId="0" applyNumberFormat="1" applyFont="1" applyFill="1" applyBorder="1" applyAlignment="1">
      <alignment vertical="top" wrapText="1"/>
    </xf>
    <xf numFmtId="164" fontId="3" fillId="15" borderId="57" xfId="0" applyNumberFormat="1" applyFont="1" applyFill="1" applyBorder="1" applyAlignment="1">
      <alignment vertical="top" wrapText="1"/>
    </xf>
    <xf numFmtId="164" fontId="3" fillId="15" borderId="58" xfId="0" applyNumberFormat="1" applyFont="1" applyFill="1" applyBorder="1" applyAlignment="1">
      <alignment vertical="top" wrapText="1"/>
    </xf>
    <xf numFmtId="164" fontId="3" fillId="15" borderId="46" xfId="0" applyNumberFormat="1" applyFont="1" applyFill="1" applyBorder="1" applyAlignment="1">
      <alignment vertical="top" wrapText="1"/>
    </xf>
    <xf numFmtId="164" fontId="3" fillId="15" borderId="44" xfId="0" applyNumberFormat="1" applyFont="1" applyFill="1" applyBorder="1" applyAlignment="1">
      <alignment vertical="top" wrapText="1"/>
    </xf>
    <xf numFmtId="10" fontId="8" fillId="0" borderId="36" xfId="0" applyNumberFormat="1" applyFont="1" applyFill="1" applyBorder="1" applyAlignment="1">
      <alignment horizontal="right" vertical="center" wrapText="1"/>
    </xf>
    <xf numFmtId="10" fontId="8" fillId="0" borderId="37" xfId="0" applyNumberFormat="1" applyFont="1" applyFill="1" applyBorder="1" applyAlignment="1">
      <alignment horizontal="right" vertical="center" wrapText="1"/>
    </xf>
    <xf numFmtId="10" fontId="8" fillId="0" borderId="40" xfId="0" applyNumberFormat="1" applyFont="1" applyFill="1" applyBorder="1" applyAlignment="1">
      <alignment horizontal="right" vertical="center" wrapText="1"/>
    </xf>
    <xf numFmtId="10" fontId="8" fillId="0" borderId="38" xfId="0" applyNumberFormat="1" applyFont="1" applyFill="1" applyBorder="1" applyAlignment="1">
      <alignment horizontal="right" vertical="center" wrapText="1"/>
    </xf>
    <xf numFmtId="10" fontId="8" fillId="0" borderId="39" xfId="0" applyNumberFormat="1" applyFont="1" applyFill="1" applyBorder="1" applyAlignment="1">
      <alignment horizontal="right" vertical="center" wrapText="1"/>
    </xf>
    <xf numFmtId="0" fontId="13" fillId="15" borderId="65" xfId="0" applyFont="1" applyFill="1" applyBorder="1" applyAlignment="1">
      <alignment horizontal="center" vertical="top" wrapText="1"/>
    </xf>
    <xf numFmtId="0" fontId="13" fillId="15" borderId="47" xfId="0" applyFont="1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0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11" fillId="14" borderId="15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16" fillId="14" borderId="14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6" fillId="8" borderId="36" xfId="5" applyFont="1" applyBorder="1" applyAlignment="1">
      <alignment horizontal="center"/>
    </xf>
    <xf numFmtId="0" fontId="6" fillId="8" borderId="18" xfId="5" applyFont="1" applyBorder="1" applyAlignment="1">
      <alignment horizontal="center"/>
    </xf>
    <xf numFmtId="0" fontId="6" fillId="8" borderId="19" xfId="5" applyFont="1" applyBorder="1" applyAlignment="1">
      <alignment horizontal="center"/>
    </xf>
    <xf numFmtId="0" fontId="11" fillId="12" borderId="48" xfId="0" applyFont="1" applyFill="1" applyBorder="1" applyAlignment="1">
      <alignment horizontal="center" vertical="center" wrapText="1"/>
    </xf>
    <xf numFmtId="0" fontId="11" fillId="12" borderId="49" xfId="0" applyFont="1" applyFill="1" applyBorder="1" applyAlignment="1">
      <alignment horizontal="center" vertical="center" wrapText="1"/>
    </xf>
    <xf numFmtId="0" fontId="11" fillId="12" borderId="50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11" fillId="14" borderId="9" xfId="0" applyFont="1" applyFill="1" applyBorder="1" applyAlignment="1">
      <alignment horizontal="center" vertical="center"/>
    </xf>
    <xf numFmtId="0" fontId="11" fillId="14" borderId="48" xfId="0" applyFont="1" applyFill="1" applyBorder="1" applyAlignment="1">
      <alignment horizontal="center" vertical="center"/>
    </xf>
    <xf numFmtId="0" fontId="11" fillId="14" borderId="50" xfId="0" applyFont="1" applyFill="1" applyBorder="1" applyAlignment="1">
      <alignment horizontal="center" vertical="center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9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/>
    </xf>
    <xf numFmtId="0" fontId="12" fillId="0" borderId="38" xfId="5" applyFont="1" applyFill="1" applyBorder="1" applyAlignment="1">
      <alignment horizontal="center"/>
    </xf>
    <xf numFmtId="0" fontId="12" fillId="0" borderId="21" xfId="5" applyFont="1" applyFill="1" applyBorder="1" applyAlignment="1">
      <alignment horizontal="center"/>
    </xf>
    <xf numFmtId="0" fontId="12" fillId="0" borderId="22" xfId="5" applyFont="1" applyFill="1" applyBorder="1" applyAlignment="1">
      <alignment horizontal="center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2" xfId="0" applyFont="1" applyFill="1" applyBorder="1" applyAlignment="1" applyProtection="1">
      <alignment horizontal="center" vertical="center"/>
      <protection locked="0"/>
    </xf>
    <xf numFmtId="0" fontId="9" fillId="0" borderId="6" xfId="0" applyFont="1" applyFill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0" borderId="33" xfId="5" applyFont="1" applyFill="1" applyBorder="1" applyAlignment="1" applyProtection="1">
      <alignment horizontal="center"/>
      <protection locked="0"/>
    </xf>
    <xf numFmtId="0" fontId="7" fillId="0" borderId="47" xfId="5" applyFont="1" applyFill="1" applyBorder="1" applyAlignment="1" applyProtection="1">
      <alignment horizontal="center"/>
      <protection locked="0"/>
    </xf>
    <xf numFmtId="0" fontId="6" fillId="8" borderId="32" xfId="5" applyFont="1" applyBorder="1" applyAlignment="1">
      <alignment horizontal="center"/>
    </xf>
    <xf numFmtId="0" fontId="6" fillId="8" borderId="45" xfId="5" applyFont="1" applyBorder="1" applyAlignment="1">
      <alignment horizontal="center"/>
    </xf>
    <xf numFmtId="0" fontId="11" fillId="2" borderId="48" xfId="0" applyFont="1" applyFill="1" applyBorder="1" applyAlignment="1">
      <alignment horizontal="center" vertical="center" wrapText="1"/>
    </xf>
    <xf numFmtId="0" fontId="11" fillId="2" borderId="49" xfId="0" applyFont="1" applyFill="1" applyBorder="1" applyAlignment="1">
      <alignment horizontal="center" vertical="center" wrapText="1"/>
    </xf>
    <xf numFmtId="0" fontId="11" fillId="2" borderId="51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11" fillId="2" borderId="5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5" borderId="13" xfId="2" applyFont="1" applyBorder="1" applyAlignment="1">
      <alignment horizontal="center"/>
    </xf>
    <xf numFmtId="0" fontId="11" fillId="5" borderId="14" xfId="2" applyFont="1" applyBorder="1" applyAlignment="1">
      <alignment horizontal="center"/>
    </xf>
    <xf numFmtId="0" fontId="11" fillId="5" borderId="15" xfId="2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9" fillId="0" borderId="11" xfId="2" applyNumberFormat="1" applyFont="1" applyFill="1" applyBorder="1" applyAlignment="1" applyProtection="1">
      <alignment horizontal="center"/>
      <protection locked="0"/>
    </xf>
    <xf numFmtId="0" fontId="9" fillId="0" borderId="12" xfId="2" applyNumberFormat="1" applyFont="1" applyFill="1" applyBorder="1" applyAlignment="1" applyProtection="1">
      <alignment horizontal="center"/>
      <protection locked="0"/>
    </xf>
    <xf numFmtId="0" fontId="9" fillId="0" borderId="6" xfId="2" applyNumberFormat="1" applyFont="1" applyFill="1" applyBorder="1" applyAlignment="1" applyProtection="1">
      <alignment horizontal="center"/>
      <protection locked="0"/>
    </xf>
    <xf numFmtId="0" fontId="6" fillId="4" borderId="36" xfId="2" applyFont="1" applyFill="1" applyBorder="1" applyAlignment="1">
      <alignment horizontal="center"/>
    </xf>
    <xf numFmtId="0" fontId="6" fillId="4" borderId="18" xfId="2" applyFont="1" applyFill="1" applyBorder="1" applyAlignment="1">
      <alignment horizontal="center"/>
    </xf>
    <xf numFmtId="0" fontId="6" fillId="4" borderId="19" xfId="2" applyFont="1" applyFill="1" applyBorder="1" applyAlignment="1">
      <alignment horizontal="center"/>
    </xf>
    <xf numFmtId="0" fontId="13" fillId="3" borderId="61" xfId="0" applyFont="1" applyFill="1" applyBorder="1" applyAlignment="1">
      <alignment horizontal="center" vertical="center" wrapText="1"/>
    </xf>
    <xf numFmtId="0" fontId="13" fillId="3" borderId="62" xfId="0" applyFont="1" applyFill="1" applyBorder="1" applyAlignment="1">
      <alignment horizontal="center" vertical="center" wrapText="1"/>
    </xf>
    <xf numFmtId="0" fontId="13" fillId="3" borderId="63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/>
    </xf>
    <xf numFmtId="0" fontId="11" fillId="12" borderId="48" xfId="0" applyFont="1" applyFill="1" applyBorder="1" applyAlignment="1">
      <alignment horizontal="center" vertical="center"/>
    </xf>
    <xf numFmtId="0" fontId="11" fillId="12" borderId="49" xfId="0" applyFont="1" applyFill="1" applyBorder="1" applyAlignment="1">
      <alignment horizontal="center" vertical="center"/>
    </xf>
    <xf numFmtId="0" fontId="11" fillId="12" borderId="50" xfId="0" applyFont="1" applyFill="1" applyBorder="1" applyAlignment="1">
      <alignment horizontal="center" vertical="center"/>
    </xf>
    <xf numFmtId="0" fontId="11" fillId="12" borderId="52" xfId="0" applyFont="1" applyFill="1" applyBorder="1" applyAlignment="1">
      <alignment horizontal="center" vertical="center"/>
    </xf>
    <xf numFmtId="0" fontId="11" fillId="12" borderId="51" xfId="0" applyFont="1" applyFill="1" applyBorder="1" applyAlignment="1">
      <alignment horizontal="center" vertical="center"/>
    </xf>
    <xf numFmtId="0" fontId="11" fillId="14" borderId="8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top" wrapText="1"/>
    </xf>
    <xf numFmtId="0" fontId="13" fillId="4" borderId="12" xfId="0" applyFont="1" applyFill="1" applyBorder="1" applyAlignment="1">
      <alignment horizontal="center" vertical="top" wrapText="1"/>
    </xf>
    <xf numFmtId="0" fontId="13" fillId="4" borderId="6" xfId="0" applyFont="1" applyFill="1" applyBorder="1" applyAlignment="1">
      <alignment horizontal="center" vertical="top" wrapText="1"/>
    </xf>
    <xf numFmtId="0" fontId="7" fillId="0" borderId="21" xfId="3" applyFont="1" applyFill="1" applyBorder="1" applyAlignment="1" applyProtection="1">
      <alignment horizontal="center"/>
      <protection locked="0"/>
    </xf>
    <xf numFmtId="0" fontId="7" fillId="0" borderId="22" xfId="3" applyFont="1" applyFill="1" applyBorder="1" applyAlignment="1" applyProtection="1">
      <alignment horizontal="center"/>
      <protection locked="0"/>
    </xf>
    <xf numFmtId="0" fontId="6" fillId="4" borderId="37" xfId="3" applyFont="1" applyFill="1" applyBorder="1" applyAlignment="1">
      <alignment horizontal="center"/>
    </xf>
    <xf numFmtId="0" fontId="6" fillId="4" borderId="16" xfId="3" applyFont="1" applyFill="1" applyBorder="1" applyAlignment="1">
      <alignment horizontal="center"/>
    </xf>
    <xf numFmtId="0" fontId="6" fillId="4" borderId="20" xfId="3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0" borderId="42" xfId="4" applyFont="1" applyFill="1" applyBorder="1" applyAlignment="1">
      <alignment horizontal="center"/>
    </xf>
    <xf numFmtId="0" fontId="12" fillId="0" borderId="28" xfId="4" applyFont="1" applyFill="1" applyBorder="1" applyAlignment="1">
      <alignment horizontal="center"/>
    </xf>
    <xf numFmtId="0" fontId="12" fillId="0" borderId="38" xfId="3" applyFont="1" applyFill="1" applyBorder="1" applyAlignment="1">
      <alignment horizontal="center"/>
    </xf>
    <xf numFmtId="0" fontId="12" fillId="0" borderId="21" xfId="3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7" borderId="43" xfId="4" applyFont="1" applyBorder="1" applyAlignment="1">
      <alignment horizontal="center"/>
    </xf>
    <xf numFmtId="0" fontId="6" fillId="7" borderId="27" xfId="4" applyFont="1" applyBorder="1" applyAlignment="1">
      <alignment horizontal="center"/>
    </xf>
    <xf numFmtId="0" fontId="6" fillId="7" borderId="44" xfId="4" applyFont="1" applyBorder="1" applyAlignment="1">
      <alignment horizontal="center"/>
    </xf>
    <xf numFmtId="0" fontId="6" fillId="7" borderId="45" xfId="4" applyFont="1" applyBorder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7" fillId="0" borderId="46" xfId="4" applyFont="1" applyFill="1" applyBorder="1" applyAlignment="1" applyProtection="1">
      <alignment horizontal="center"/>
      <protection locked="0"/>
    </xf>
    <xf numFmtId="0" fontId="7" fillId="0" borderId="47" xfId="4" applyFont="1" applyFill="1" applyBorder="1" applyAlignment="1" applyProtection="1">
      <alignment horizontal="center"/>
      <protection locked="0"/>
    </xf>
  </cellXfs>
  <cellStyles count="8">
    <cellStyle name="40% - Accent1" xfId="3" builtinId="31"/>
    <cellStyle name="40% - Accent3" xfId="4" builtinId="39"/>
    <cellStyle name="40% - Accent5" xfId="2" builtinId="47"/>
    <cellStyle name="40% - Accent6" xfId="5" builtinId="51"/>
    <cellStyle name="Explanatory Text" xfId="1" builtinId="53"/>
    <cellStyle name="Normal" xfId="0" builtinId="0"/>
    <cellStyle name="Normal 2 3" xfId="6"/>
    <cellStyle name="Normal 4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285751</xdr:colOff>
      <xdr:row>1</xdr:row>
      <xdr:rowOff>238125</xdr:rowOff>
    </xdr:from>
    <xdr:ext cx="2214566" cy="511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04D6AA-BD1A-4394-84EA-ED428268CA79}"/>
                </a:ext>
              </a:extLst>
            </xdr:cNvPr>
            <xdr:cNvSpPr txBox="1"/>
          </xdr:nvSpPr>
          <xdr:spPr>
            <a:xfrm>
              <a:off x="2262189" y="392906"/>
              <a:ext cx="2214566" cy="5119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%</m:t>
                        </m:r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04D6AA-BD1A-4394-84EA-ED428268CA79}"/>
                </a:ext>
              </a:extLst>
            </xdr:cNvPr>
            <xdr:cNvSpPr txBox="1"/>
          </xdr:nvSpPr>
          <xdr:spPr>
            <a:xfrm>
              <a:off x="2262189" y="392906"/>
              <a:ext cx="2214566" cy="5119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𝜇〗_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  1/(𝑎+𝑏𝐻^𝑐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11</xdr:col>
      <xdr:colOff>47628</xdr:colOff>
      <xdr:row>1</xdr:row>
      <xdr:rowOff>238125</xdr:rowOff>
    </xdr:from>
    <xdr:ext cx="1726404" cy="511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9FA5149-3A4C-4FC9-8823-1CAABE6B6C49}"/>
                </a:ext>
              </a:extLst>
            </xdr:cNvPr>
            <xdr:cNvSpPr txBox="1"/>
          </xdr:nvSpPr>
          <xdr:spPr>
            <a:xfrm>
              <a:off x="8524878" y="392906"/>
              <a:ext cx="1726404" cy="5119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sSup>
                      <m:sSupPr>
                        <m:ctrlP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p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p>
                    </m:sSup>
                    <m:sSup>
                      <m:sSupPr>
                        <m:ctrlP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p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p>
                    </m:sSup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9FA5149-3A4C-4FC9-8823-1CAABE6B6C49}"/>
                </a:ext>
              </a:extLst>
            </xdr:cNvPr>
            <xdr:cNvSpPr txBox="1"/>
          </xdr:nvSpPr>
          <xdr:spPr>
            <a:xfrm>
              <a:off x="8524878" y="392906"/>
              <a:ext cx="1726404" cy="5119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𝑃_𝐿=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𝑎𝐵^𝑏 𝑓^𝑐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19</xdr:col>
      <xdr:colOff>334565</xdr:colOff>
      <xdr:row>1</xdr:row>
      <xdr:rowOff>227410</xdr:rowOff>
    </xdr:from>
    <xdr:ext cx="2082403" cy="5226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9C72F8-AAE4-4A65-9C60-CF31DDBE19B3}"/>
                </a:ext>
              </a:extLst>
            </xdr:cNvPr>
            <xdr:cNvSpPr txBox="1"/>
          </xdr:nvSpPr>
          <xdr:spPr>
            <a:xfrm>
              <a:off x="15312628" y="382191"/>
              <a:ext cx="2082403" cy="522684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𝑏𝐻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  <m:sSup>
                                  <m:sSup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𝑑𝐻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  <m:sSup>
                                  <m:sSup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9C72F8-AAE4-4A65-9C60-CF31DDBE19B3}"/>
                </a:ext>
              </a:extLst>
            </xdr:cNvPr>
            <xdr:cNvSpPr txBox="1"/>
          </xdr:nvSpPr>
          <xdr:spPr>
            <a:xfrm>
              <a:off x="15312628" y="382191"/>
              <a:ext cx="2082403" cy="522684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𝐵=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[(𝑎+𝑏𝐻+𝑐𝐻^2)/(1+𝑑𝐻+𝑒𝐻^2 )]^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29</xdr:col>
      <xdr:colOff>23817</xdr:colOff>
      <xdr:row>1</xdr:row>
      <xdr:rowOff>238125</xdr:rowOff>
    </xdr:from>
    <xdr:ext cx="2726532" cy="511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5A5D928-D3E9-4311-A546-7ACE0C40ECE9}"/>
                </a:ext>
              </a:extLst>
            </xdr:cNvPr>
            <xdr:cNvSpPr txBox="1"/>
          </xdr:nvSpPr>
          <xdr:spPr>
            <a:xfrm>
              <a:off x="23312442" y="392906"/>
              <a:ext cx="2726532" cy="511969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𝑏𝑓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𝑐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𝑑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𝑒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5A5D928-D3E9-4311-A546-7ACE0C40ECE9}"/>
                </a:ext>
              </a:extLst>
            </xdr:cNvPr>
            <xdr:cNvSpPr txBox="1"/>
          </xdr:nvSpPr>
          <xdr:spPr>
            <a:xfrm>
              <a:off x="23312442" y="392906"/>
              <a:ext cx="2726532" cy="511969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∆𝜇/𝜇_</a:t>
              </a:r>
              <a:r>
                <a:rPr lang="en-US" sz="1400" b="0" i="0">
                  <a:latin typeface="Cambria Math" panose="02040503050406030204" pitchFamily="18" charset="0"/>
                </a:rPr>
                <a:t>𝑖 =𝑎+𝑏𝑓+𝑐𝑓^2+𝑑𝑓^3+𝑒𝑓^4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16</xdr:col>
      <xdr:colOff>23812</xdr:colOff>
      <xdr:row>1</xdr:row>
      <xdr:rowOff>23812</xdr:rowOff>
    </xdr:from>
    <xdr:to>
      <xdr:col>17</xdr:col>
      <xdr:colOff>723437</xdr:colOff>
      <xdr:row>3</xdr:row>
      <xdr:rowOff>144197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A297960-B925-4EF6-BB25-9EB15778E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7281" y="178593"/>
          <a:ext cx="1604500" cy="620448"/>
        </a:xfrm>
        <a:prstGeom prst="rect">
          <a:avLst/>
        </a:prstGeom>
      </xdr:spPr>
    </xdr:pic>
    <xdr:clientData/>
  </xdr:twoCellAnchor>
  <xdr:twoCellAnchor editAs="oneCell">
    <xdr:from>
      <xdr:col>26</xdr:col>
      <xdr:colOff>23812</xdr:colOff>
      <xdr:row>1</xdr:row>
      <xdr:rowOff>23812</xdr:rowOff>
    </xdr:from>
    <xdr:to>
      <xdr:col>27</xdr:col>
      <xdr:colOff>723437</xdr:colOff>
      <xdr:row>3</xdr:row>
      <xdr:rowOff>144197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FC3F58B-CAFA-4BA4-9694-E029D8243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7843" y="178593"/>
          <a:ext cx="1604500" cy="620448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</xdr:colOff>
      <xdr:row>1</xdr:row>
      <xdr:rowOff>23812</xdr:rowOff>
    </xdr:from>
    <xdr:to>
      <xdr:col>2</xdr:col>
      <xdr:colOff>723437</xdr:colOff>
      <xdr:row>3</xdr:row>
      <xdr:rowOff>144197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838B8A2-08F9-4E9C-B36E-61E823D45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78593"/>
          <a:ext cx="1604500" cy="620448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</xdr:colOff>
      <xdr:row>1</xdr:row>
      <xdr:rowOff>23812</xdr:rowOff>
    </xdr:from>
    <xdr:to>
      <xdr:col>10</xdr:col>
      <xdr:colOff>723437</xdr:colOff>
      <xdr:row>3</xdr:row>
      <xdr:rowOff>144197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FE1FF36-6D5E-4740-9145-E5670D524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1" y="178593"/>
          <a:ext cx="1604500" cy="620448"/>
        </a:xfrm>
        <a:prstGeom prst="rect">
          <a:avLst/>
        </a:prstGeom>
      </xdr:spPr>
    </xdr:pic>
    <xdr:clientData/>
  </xdr:twoCellAnchor>
  <xdr:oneCellAnchor>
    <xdr:from>
      <xdr:col>38</xdr:col>
      <xdr:colOff>857245</xdr:colOff>
      <xdr:row>1</xdr:row>
      <xdr:rowOff>238127</xdr:rowOff>
    </xdr:from>
    <xdr:ext cx="2809878" cy="511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C535BF3-85E4-44DF-B042-CD07B081B1F6}"/>
                </a:ext>
              </a:extLst>
            </xdr:cNvPr>
            <xdr:cNvSpPr txBox="1"/>
          </xdr:nvSpPr>
          <xdr:spPr>
            <a:xfrm>
              <a:off x="31551558" y="392908"/>
              <a:ext cx="2809878" cy="511967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𝑏𝑇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𝑐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𝑑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𝑒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C535BF3-85E4-44DF-B042-CD07B081B1F6}"/>
                </a:ext>
              </a:extLst>
            </xdr:cNvPr>
            <xdr:cNvSpPr txBox="1"/>
          </xdr:nvSpPr>
          <xdr:spPr>
            <a:xfrm>
              <a:off x="31551558" y="392908"/>
              <a:ext cx="2809878" cy="511967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∆𝜇/𝜇_</a:t>
              </a:r>
              <a:r>
                <a:rPr lang="en-US" sz="1400" b="0" i="0">
                  <a:latin typeface="Cambria Math" panose="02040503050406030204" pitchFamily="18" charset="0"/>
                </a:rPr>
                <a:t>𝑖 =𝑎+𝑏𝑇+𝑐𝑇^2+𝑑𝑇^3+𝑒𝑇^4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36</xdr:col>
      <xdr:colOff>23812</xdr:colOff>
      <xdr:row>1</xdr:row>
      <xdr:rowOff>23812</xdr:rowOff>
    </xdr:from>
    <xdr:to>
      <xdr:col>37</xdr:col>
      <xdr:colOff>723437</xdr:colOff>
      <xdr:row>3</xdr:row>
      <xdr:rowOff>144197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0517AF1-206E-43B8-8806-EFEC617C0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08375" y="178593"/>
          <a:ext cx="1604500" cy="620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S77"/>
  <sheetViews>
    <sheetView showGridLines="0" tabSelected="1" zoomScale="80" zoomScaleNormal="80" zoomScaleSheetLayoutView="75" workbookViewId="0">
      <selection activeCell="AC42" sqref="AC42"/>
    </sheetView>
  </sheetViews>
  <sheetFormatPr defaultColWidth="9.140625" defaultRowHeight="15" x14ac:dyDescent="0.25"/>
  <cols>
    <col min="1" max="1" width="2.42578125" style="1" customWidth="1"/>
    <col min="2" max="8" width="13.5703125" style="1" customWidth="1"/>
    <col min="9" max="9" width="2.5703125" style="1" customWidth="1"/>
    <col min="10" max="15" width="13.5703125" style="1" customWidth="1"/>
    <col min="16" max="16" width="2.5703125" style="1" customWidth="1"/>
    <col min="17" max="25" width="13.5703125" style="1" customWidth="1"/>
    <col min="26" max="26" width="2.5703125" style="1" customWidth="1"/>
    <col min="27" max="35" width="13.5703125" style="1" customWidth="1"/>
    <col min="36" max="36" width="2.5703125" style="1" customWidth="1"/>
    <col min="37" max="45" width="13.5703125" style="1" customWidth="1"/>
    <col min="46" max="16384" width="9.140625" style="1"/>
  </cols>
  <sheetData>
    <row r="1" spans="2:45" ht="12" customHeight="1" thickBot="1" x14ac:dyDescent="0.3"/>
    <row r="2" spans="2:45" ht="21" x14ac:dyDescent="0.35">
      <c r="B2" s="58"/>
      <c r="C2" s="59"/>
      <c r="D2" s="372" t="s">
        <v>12</v>
      </c>
      <c r="E2" s="372"/>
      <c r="F2" s="372"/>
      <c r="G2" s="59"/>
      <c r="H2" s="60"/>
      <c r="J2" s="63"/>
      <c r="K2" s="5"/>
      <c r="L2" s="73" t="s">
        <v>13</v>
      </c>
      <c r="M2" s="73"/>
      <c r="N2" s="64"/>
      <c r="O2" s="65"/>
      <c r="Q2" s="135"/>
      <c r="R2" s="5"/>
      <c r="S2" s="5"/>
      <c r="T2" s="372" t="s">
        <v>14</v>
      </c>
      <c r="U2" s="372"/>
      <c r="V2" s="372"/>
      <c r="W2" s="64"/>
      <c r="X2" s="5"/>
      <c r="Y2" s="65"/>
      <c r="AA2" s="281"/>
      <c r="AB2" s="5"/>
      <c r="AC2" s="372" t="s">
        <v>39</v>
      </c>
      <c r="AD2" s="372"/>
      <c r="AE2" s="372"/>
      <c r="AF2" s="372"/>
      <c r="AG2" s="372"/>
      <c r="AH2" s="5"/>
      <c r="AI2" s="65"/>
      <c r="AK2" s="135"/>
      <c r="AL2" s="5"/>
      <c r="AM2" s="5"/>
      <c r="AN2" s="372" t="s">
        <v>40</v>
      </c>
      <c r="AO2" s="372"/>
      <c r="AP2" s="372"/>
      <c r="AQ2" s="5"/>
      <c r="AR2" s="5"/>
      <c r="AS2" s="65"/>
    </row>
    <row r="3" spans="2:45" s="2" customFormat="1" ht="18.75" x14ac:dyDescent="0.3">
      <c r="B3" s="9"/>
      <c r="C3" s="10"/>
      <c r="D3" s="431"/>
      <c r="E3" s="431"/>
      <c r="F3" s="431"/>
      <c r="G3" s="10"/>
      <c r="H3" s="11"/>
      <c r="J3" s="12"/>
      <c r="K3" s="10"/>
      <c r="L3" s="10"/>
      <c r="M3" s="10"/>
      <c r="N3" s="10"/>
      <c r="O3" s="11"/>
      <c r="Q3" s="12"/>
      <c r="R3" s="10"/>
      <c r="S3" s="10"/>
      <c r="T3" s="10"/>
      <c r="U3" s="10"/>
      <c r="V3" s="10"/>
      <c r="W3" s="10"/>
      <c r="X3" s="10"/>
      <c r="Y3" s="11"/>
      <c r="AA3" s="9"/>
      <c r="AB3" s="10"/>
      <c r="AC3" s="10"/>
      <c r="AD3" s="10"/>
      <c r="AE3" s="10"/>
      <c r="AF3" s="10"/>
      <c r="AG3" s="10"/>
      <c r="AH3" s="10"/>
      <c r="AI3" s="11"/>
      <c r="AK3" s="9"/>
      <c r="AL3" s="10"/>
      <c r="AM3" s="10"/>
      <c r="AN3" s="10"/>
      <c r="AO3" s="10"/>
      <c r="AP3" s="10"/>
      <c r="AQ3" s="10"/>
      <c r="AR3" s="10"/>
      <c r="AS3" s="11"/>
    </row>
    <row r="4" spans="2:45" s="2" customFormat="1" ht="19.5" thickBot="1" x14ac:dyDescent="0.35">
      <c r="B4" s="12"/>
      <c r="C4" s="10"/>
      <c r="D4" s="10"/>
      <c r="E4" s="10"/>
      <c r="F4" s="10"/>
      <c r="G4" s="10"/>
      <c r="H4" s="11"/>
      <c r="J4" s="12"/>
      <c r="K4" s="10"/>
      <c r="L4" s="10"/>
      <c r="M4" s="10"/>
      <c r="N4" s="10"/>
      <c r="O4" s="11"/>
      <c r="Q4" s="9"/>
      <c r="R4" s="10"/>
      <c r="S4" s="10"/>
      <c r="T4" s="10"/>
      <c r="U4" s="10"/>
      <c r="V4" s="10"/>
      <c r="W4" s="10"/>
      <c r="X4" s="10"/>
      <c r="Y4" s="11"/>
      <c r="AA4" s="282"/>
      <c r="AB4" s="283"/>
      <c r="AC4" s="283"/>
      <c r="AD4" s="283"/>
      <c r="AE4" s="283"/>
      <c r="AF4" s="283"/>
      <c r="AG4" s="283"/>
      <c r="AH4" s="283"/>
      <c r="AI4" s="284"/>
      <c r="AK4" s="308"/>
      <c r="AL4" s="309"/>
      <c r="AM4" s="283"/>
      <c r="AN4" s="283"/>
      <c r="AO4" s="283"/>
      <c r="AP4" s="283"/>
      <c r="AQ4" s="283"/>
      <c r="AR4" s="283"/>
      <c r="AS4" s="284"/>
    </row>
    <row r="5" spans="2:45" ht="18.75" customHeight="1" thickBot="1" x14ac:dyDescent="0.35">
      <c r="B5" s="428" t="s">
        <v>25</v>
      </c>
      <c r="C5" s="429"/>
      <c r="D5" s="429"/>
      <c r="E5" s="429"/>
      <c r="F5" s="429"/>
      <c r="G5" s="429"/>
      <c r="H5" s="430"/>
      <c r="J5" s="432" t="s">
        <v>31</v>
      </c>
      <c r="K5" s="433"/>
      <c r="L5" s="433"/>
      <c r="M5" s="433" t="s">
        <v>30</v>
      </c>
      <c r="N5" s="433"/>
      <c r="O5" s="434"/>
      <c r="Q5" s="416" t="s">
        <v>33</v>
      </c>
      <c r="R5" s="417"/>
      <c r="S5" s="417"/>
      <c r="T5" s="417"/>
      <c r="U5" s="417"/>
      <c r="V5" s="417"/>
      <c r="W5" s="417"/>
      <c r="X5" s="417"/>
      <c r="Y5" s="418"/>
      <c r="AA5" s="273"/>
      <c r="AB5" s="272"/>
      <c r="AC5" s="272"/>
      <c r="AD5" s="394" t="s">
        <v>15</v>
      </c>
      <c r="AE5" s="394"/>
      <c r="AF5" s="394"/>
      <c r="AG5" s="272"/>
      <c r="AH5" s="274"/>
      <c r="AI5" s="275"/>
      <c r="AK5" s="310"/>
      <c r="AL5" s="311"/>
      <c r="AM5" s="376" t="s">
        <v>16</v>
      </c>
      <c r="AN5" s="376"/>
      <c r="AO5" s="376"/>
      <c r="AP5" s="376"/>
      <c r="AQ5" s="376"/>
      <c r="AR5" s="312"/>
      <c r="AS5" s="313"/>
    </row>
    <row r="6" spans="2:45" s="2" customFormat="1" ht="18.75" customHeight="1" thickBot="1" x14ac:dyDescent="0.35">
      <c r="B6" s="14"/>
      <c r="C6" s="13"/>
      <c r="D6" s="435">
        <v>50</v>
      </c>
      <c r="E6" s="436"/>
      <c r="F6" s="437"/>
      <c r="G6" s="13"/>
      <c r="H6" s="15"/>
      <c r="J6" s="72"/>
      <c r="K6" s="74">
        <v>0.1</v>
      </c>
      <c r="L6" s="69"/>
      <c r="M6" s="71"/>
      <c r="N6" s="74">
        <v>50</v>
      </c>
      <c r="O6" s="70"/>
      <c r="Q6" s="141"/>
      <c r="R6" s="139"/>
      <c r="S6" s="139"/>
      <c r="T6" s="398">
        <v>95</v>
      </c>
      <c r="U6" s="399"/>
      <c r="V6" s="400"/>
      <c r="W6" s="139"/>
      <c r="X6" s="139"/>
      <c r="Y6" s="140"/>
      <c r="AA6" s="276"/>
      <c r="AB6" s="271"/>
      <c r="AC6" s="271"/>
      <c r="AD6" s="373">
        <v>0.5</v>
      </c>
      <c r="AE6" s="374"/>
      <c r="AF6" s="375"/>
      <c r="AG6" s="271"/>
      <c r="AH6" s="269"/>
      <c r="AI6" s="270"/>
      <c r="AK6" s="314"/>
      <c r="AL6" s="315"/>
      <c r="AM6" s="315"/>
      <c r="AN6" s="373">
        <v>50</v>
      </c>
      <c r="AO6" s="374"/>
      <c r="AP6" s="375"/>
      <c r="AQ6" s="315"/>
      <c r="AR6" s="316"/>
      <c r="AS6" s="317"/>
    </row>
    <row r="7" spans="2:45" s="2" customFormat="1" ht="18.75" customHeight="1" thickBot="1" x14ac:dyDescent="0.35">
      <c r="B7" s="6"/>
      <c r="C7" s="7"/>
      <c r="D7" s="7"/>
      <c r="E7" s="7"/>
      <c r="F7" s="7"/>
      <c r="G7" s="7"/>
      <c r="H7" s="8"/>
      <c r="J7" s="66"/>
      <c r="K7" s="67"/>
      <c r="L7" s="67"/>
      <c r="M7" s="67"/>
      <c r="N7" s="67"/>
      <c r="O7" s="68"/>
      <c r="Q7" s="136"/>
      <c r="R7" s="137"/>
      <c r="S7" s="137"/>
      <c r="T7" s="137"/>
      <c r="U7" s="137"/>
      <c r="V7" s="137"/>
      <c r="W7" s="137"/>
      <c r="X7" s="137"/>
      <c r="Y7" s="138"/>
      <c r="AA7" s="277"/>
      <c r="AB7" s="278"/>
      <c r="AC7" s="278"/>
      <c r="AD7" s="278"/>
      <c r="AE7" s="278"/>
      <c r="AF7" s="278"/>
      <c r="AG7" s="278"/>
      <c r="AH7" s="279"/>
      <c r="AI7" s="280"/>
      <c r="AK7" s="318"/>
      <c r="AL7" s="319"/>
      <c r="AM7" s="319"/>
      <c r="AN7" s="319"/>
      <c r="AO7" s="319"/>
      <c r="AP7" s="319"/>
      <c r="AQ7" s="319"/>
      <c r="AR7" s="320"/>
      <c r="AS7" s="321"/>
    </row>
    <row r="8" spans="2:45" ht="35.25" customHeight="1" thickBot="1" x14ac:dyDescent="0.3">
      <c r="B8" s="75" t="s">
        <v>32</v>
      </c>
      <c r="C8" s="360" t="s">
        <v>24</v>
      </c>
      <c r="D8" s="148" t="s">
        <v>2</v>
      </c>
      <c r="E8" s="361" t="s">
        <v>3</v>
      </c>
      <c r="F8" s="361" t="s">
        <v>4</v>
      </c>
      <c r="G8" s="362" t="s">
        <v>47</v>
      </c>
      <c r="H8" s="362" t="s">
        <v>48</v>
      </c>
      <c r="J8" s="150" t="s">
        <v>32</v>
      </c>
      <c r="K8" s="87" t="s">
        <v>24</v>
      </c>
      <c r="L8" s="149" t="s">
        <v>2</v>
      </c>
      <c r="M8" s="149" t="s">
        <v>3</v>
      </c>
      <c r="N8" s="149" t="s">
        <v>4</v>
      </c>
      <c r="O8" s="363" t="s">
        <v>29</v>
      </c>
      <c r="Q8" s="146" t="s">
        <v>0</v>
      </c>
      <c r="R8" s="217" t="s">
        <v>38</v>
      </c>
      <c r="S8" s="147" t="s">
        <v>2</v>
      </c>
      <c r="T8" s="147" t="s">
        <v>3</v>
      </c>
      <c r="U8" s="147" t="s">
        <v>4</v>
      </c>
      <c r="V8" s="147" t="s">
        <v>5</v>
      </c>
      <c r="W8" s="217" t="s">
        <v>6</v>
      </c>
      <c r="X8" s="364" t="s">
        <v>10</v>
      </c>
      <c r="Y8" s="147" t="s">
        <v>49</v>
      </c>
      <c r="AA8" s="365" t="s">
        <v>0</v>
      </c>
      <c r="AB8" s="365" t="s">
        <v>9</v>
      </c>
      <c r="AC8" s="365" t="s">
        <v>2</v>
      </c>
      <c r="AD8" s="365" t="s">
        <v>3</v>
      </c>
      <c r="AE8" s="365" t="s">
        <v>4</v>
      </c>
      <c r="AF8" s="365" t="s">
        <v>5</v>
      </c>
      <c r="AG8" s="366" t="s">
        <v>6</v>
      </c>
      <c r="AH8" s="366" t="s">
        <v>11</v>
      </c>
      <c r="AI8" s="366" t="s">
        <v>20</v>
      </c>
      <c r="AK8" s="322" t="s">
        <v>0</v>
      </c>
      <c r="AL8" s="367" t="s">
        <v>9</v>
      </c>
      <c r="AM8" s="368" t="s">
        <v>2</v>
      </c>
      <c r="AN8" s="369" t="s">
        <v>3</v>
      </c>
      <c r="AO8" s="369" t="s">
        <v>4</v>
      </c>
      <c r="AP8" s="369" t="s">
        <v>5</v>
      </c>
      <c r="AQ8" s="370" t="s">
        <v>6</v>
      </c>
      <c r="AR8" s="367" t="s">
        <v>11</v>
      </c>
      <c r="AS8" s="371" t="s">
        <v>20</v>
      </c>
    </row>
    <row r="9" spans="2:45" ht="15.95" customHeight="1" x14ac:dyDescent="0.25">
      <c r="B9" s="458" t="s">
        <v>1</v>
      </c>
      <c r="C9" s="31">
        <v>14</v>
      </c>
      <c r="D9" s="21">
        <v>0.01</v>
      </c>
      <c r="E9" s="18">
        <v>4.3573461144285437E-9</v>
      </c>
      <c r="F9" s="191">
        <v>2.3845886146755886</v>
      </c>
      <c r="G9" s="36">
        <f t="shared" ref="G9:G18" si="0">IF(OR(0.01*(1/(D9+E9*(D$6^F9)))&lt;0.3,0.01*(1/(D9+E9*(D$6^F9)))&gt;1),"Out of Range",0.01*(1/(D9+E9*(D$6^F9))))</f>
        <v>0.99511975153253296</v>
      </c>
      <c r="H9" s="37">
        <f>IF(G9="Out of Range","Out of Range",G9*C9)</f>
        <v>13.931676521455461</v>
      </c>
      <c r="J9" s="419" t="s">
        <v>1</v>
      </c>
      <c r="K9" s="103">
        <v>14</v>
      </c>
      <c r="L9" s="92">
        <v>266.22000000000003</v>
      </c>
      <c r="M9" s="90">
        <v>2.1030000000000002</v>
      </c>
      <c r="N9" s="90">
        <v>1.3160000000000001</v>
      </c>
      <c r="O9" s="37">
        <f t="shared" ref="O9:O21" si="1">IF(OR($K$6=0,$N$6=0),"",L9*$K$6^M9*$N$6^N9)</f>
        <v>361.48077507253981</v>
      </c>
      <c r="Q9" s="377" t="s">
        <v>1</v>
      </c>
      <c r="R9" s="232">
        <v>14</v>
      </c>
      <c r="S9" s="130">
        <v>3.9184895435069651E-2</v>
      </c>
      <c r="T9" s="126">
        <v>1.8239687547398731E-2</v>
      </c>
      <c r="U9" s="126">
        <v>4.9106373443192784E-4</v>
      </c>
      <c r="V9" s="126">
        <v>0.13312093764632904</v>
      </c>
      <c r="W9" s="126">
        <v>4.5018467993637062E-4</v>
      </c>
      <c r="X9" s="218">
        <v>1.9383038577114611</v>
      </c>
      <c r="Y9" s="221">
        <f>IF(T6&gt;610,"out of range",IF(T6="","",((S9+T9*T6+U9*T6^2)/(1+V9*T6+W9*T6^2))^X9))</f>
        <v>0.13092234487549378</v>
      </c>
      <c r="AA9" s="445" t="s">
        <v>1</v>
      </c>
      <c r="AB9" s="285">
        <v>14</v>
      </c>
      <c r="AC9" s="290">
        <v>0</v>
      </c>
      <c r="AD9" s="291">
        <v>-2.32E-3</v>
      </c>
      <c r="AE9" s="291">
        <v>7.6300000000000001E-4</v>
      </c>
      <c r="AF9" s="291">
        <v>-5.0699999999999996E-4</v>
      </c>
      <c r="AG9" s="292">
        <v>3.1699999999999998E-5</v>
      </c>
      <c r="AH9" s="263">
        <f t="shared" ref="AH9:AH17" si="2">IF(AD$6&gt;10,"out of range",IF($AD$6="","",AC9+AD9*$AD$6+AE9*$AD$6^2+AF9*$AD$6^3+AG9*$AD$6^4))</f>
        <v>-1.0306437500000002E-3</v>
      </c>
      <c r="AI9" s="258">
        <f>IF(AD$6&gt;10,"out of range",IF($AD$6=0,"",AH9*14))</f>
        <v>-1.4429012500000003E-2</v>
      </c>
      <c r="AK9" s="444" t="s">
        <v>1</v>
      </c>
      <c r="AL9" s="339">
        <v>14</v>
      </c>
      <c r="AM9" s="334">
        <v>-1.2999999999999999E-3</v>
      </c>
      <c r="AN9" s="328">
        <v>4.7500000000000003E-5</v>
      </c>
      <c r="AO9" s="328">
        <v>1.3E-7</v>
      </c>
      <c r="AP9" s="329">
        <v>0</v>
      </c>
      <c r="AQ9" s="344">
        <v>0</v>
      </c>
      <c r="AR9" s="353">
        <f t="shared" ref="AR9:AR24" si="3">IF(OR(AN$6&lt;-60,AN$6&gt;200),"out of range",IF($AN$6="","",AM9+AN9*$AN$6+AO9*$AN$6^2+AP9*$AN$6^3+AQ9*$AN$6^4))</f>
        <v>1.4E-3</v>
      </c>
      <c r="AS9" s="156">
        <f>IF(OR(AN$6&lt;-60,AN$6&gt;200),"out of range",IF($AN$6="","",AR9*14))</f>
        <v>1.9599999999999999E-2</v>
      </c>
    </row>
    <row r="10" spans="2:45" ht="15.95" customHeight="1" x14ac:dyDescent="0.25">
      <c r="B10" s="459"/>
      <c r="C10" s="32">
        <v>26</v>
      </c>
      <c r="D10" s="22">
        <v>0.01</v>
      </c>
      <c r="E10" s="16">
        <v>1.0896677651864416E-8</v>
      </c>
      <c r="F10" s="192">
        <v>2.5051162652390424</v>
      </c>
      <c r="G10" s="38">
        <f t="shared" si="0"/>
        <v>0.98072655144634813</v>
      </c>
      <c r="H10" s="39">
        <f t="shared" ref="H10:H54" si="4">IF(G10="Out of Range","Out of Range",G10*C10)</f>
        <v>25.498890337605051</v>
      </c>
      <c r="J10" s="420"/>
      <c r="K10" s="104">
        <v>26</v>
      </c>
      <c r="L10" s="93">
        <v>146.94</v>
      </c>
      <c r="M10" s="88">
        <v>2.1030000000000002</v>
      </c>
      <c r="N10" s="88">
        <v>1.357</v>
      </c>
      <c r="O10" s="39">
        <f t="shared" si="1"/>
        <v>234.22989913749873</v>
      </c>
      <c r="Q10" s="378"/>
      <c r="R10" s="235">
        <v>26</v>
      </c>
      <c r="S10" s="131">
        <v>5.3395004192252675E-2</v>
      </c>
      <c r="T10" s="122">
        <v>1.1437649406649578E-2</v>
      </c>
      <c r="U10" s="122">
        <v>5.418533537932071E-4</v>
      </c>
      <c r="V10" s="122">
        <v>8.7721004013052994E-2</v>
      </c>
      <c r="W10" s="122">
        <v>4.9995461336986298E-4</v>
      </c>
      <c r="X10" s="219">
        <v>1.6994333688932892</v>
      </c>
      <c r="Y10" s="222">
        <f>IF(T$6&gt;340,"out of range",IF($T$6="","",((S10+T10*$T$6+U10*$T$6^2)/(1+V10*$T$6+W10*$T$6^2))^X10))</f>
        <v>0.24352243269587676</v>
      </c>
      <c r="AA10" s="446"/>
      <c r="AB10" s="286">
        <v>26</v>
      </c>
      <c r="AC10" s="293">
        <v>0</v>
      </c>
      <c r="AD10" s="294">
        <v>-1.5599999999999999E-2</v>
      </c>
      <c r="AE10" s="294">
        <v>5.1900000000000002E-3</v>
      </c>
      <c r="AF10" s="294">
        <v>-1.16E-3</v>
      </c>
      <c r="AG10" s="295">
        <v>6.2299999999999996E-5</v>
      </c>
      <c r="AH10" s="264">
        <f t="shared" si="2"/>
        <v>-6.6436062499999997E-3</v>
      </c>
      <c r="AI10" s="259">
        <f t="shared" ref="AI10:AI17" si="5">IF(AD$6&gt;10,"out of range",IF($AD$6=0,"",AH10*26))</f>
        <v>-0.1727337625</v>
      </c>
      <c r="AK10" s="388"/>
      <c r="AL10" s="340">
        <v>26</v>
      </c>
      <c r="AM10" s="335">
        <v>-1.431E-3</v>
      </c>
      <c r="AN10" s="323">
        <v>5.2649999999999999E-5</v>
      </c>
      <c r="AO10" s="323">
        <v>1.8370000000000001E-7</v>
      </c>
      <c r="AP10" s="324">
        <v>0</v>
      </c>
      <c r="AQ10" s="345">
        <v>0</v>
      </c>
      <c r="AR10" s="354">
        <f t="shared" si="3"/>
        <v>1.6607499999999999E-3</v>
      </c>
      <c r="AS10" s="157">
        <f>IF(OR(AN$6&lt;-60,AN$6&gt;200),"out of range",IF($AN$6="","",AR10*26))</f>
        <v>4.3179499999999996E-2</v>
      </c>
    </row>
    <row r="11" spans="2:45" ht="15.95" customHeight="1" x14ac:dyDescent="0.25">
      <c r="B11" s="459"/>
      <c r="C11" s="32">
        <v>60</v>
      </c>
      <c r="D11" s="22">
        <v>0.01</v>
      </c>
      <c r="E11" s="16">
        <v>1.1652679425458997E-7</v>
      </c>
      <c r="F11" s="192">
        <v>2.4359649995511266</v>
      </c>
      <c r="G11" s="38">
        <f t="shared" si="0"/>
        <v>0.86181214524318461</v>
      </c>
      <c r="H11" s="39">
        <f t="shared" si="4"/>
        <v>51.708728714591075</v>
      </c>
      <c r="J11" s="420"/>
      <c r="K11" s="104">
        <v>60</v>
      </c>
      <c r="L11" s="93">
        <v>72.150000000000006</v>
      </c>
      <c r="M11" s="88">
        <v>2.1030000000000002</v>
      </c>
      <c r="N11" s="88">
        <v>1.4490000000000001</v>
      </c>
      <c r="O11" s="39">
        <f t="shared" si="1"/>
        <v>164.83288945822483</v>
      </c>
      <c r="P11" s="3"/>
      <c r="Q11" s="378"/>
      <c r="R11" s="235">
        <v>60</v>
      </c>
      <c r="S11" s="131">
        <v>3.9329623397622276E-2</v>
      </c>
      <c r="T11" s="122">
        <v>1.3713205938106226E-2</v>
      </c>
      <c r="U11" s="122">
        <v>5.7265889383660931E-4</v>
      </c>
      <c r="V11" s="122">
        <v>5.1004167460847495E-2</v>
      </c>
      <c r="W11" s="122">
        <v>5.2155239662237394E-4</v>
      </c>
      <c r="X11" s="219">
        <v>1.5279618667882748</v>
      </c>
      <c r="Y11" s="222">
        <f>IF(T$6&gt;150,"out of range",IF($T$6="","",((S11+T11*$T$6+U11*$T$6^2)/(1+V11*$T$6+W11*$T$6^2))^X11))</f>
        <v>0.47809297299276649</v>
      </c>
      <c r="Z11" s="3"/>
      <c r="AA11" s="446"/>
      <c r="AB11" s="286">
        <v>60</v>
      </c>
      <c r="AC11" s="293">
        <v>0</v>
      </c>
      <c r="AD11" s="294">
        <v>-1.8200000000000001E-2</v>
      </c>
      <c r="AE11" s="294">
        <v>4.3200000000000001E-3</v>
      </c>
      <c r="AF11" s="294">
        <v>-9.7799999999999992E-4</v>
      </c>
      <c r="AG11" s="295">
        <v>5.3600000000000002E-5</v>
      </c>
      <c r="AH11" s="264">
        <f t="shared" si="2"/>
        <v>-8.1389000000000027E-3</v>
      </c>
      <c r="AI11" s="259">
        <f t="shared" si="5"/>
        <v>-0.21161140000000006</v>
      </c>
      <c r="AK11" s="388"/>
      <c r="AL11" s="340">
        <v>60</v>
      </c>
      <c r="AM11" s="335">
        <v>-1.604E-3</v>
      </c>
      <c r="AN11" s="323">
        <v>5.9450000000000002E-5</v>
      </c>
      <c r="AO11" s="323">
        <v>1.875E-7</v>
      </c>
      <c r="AP11" s="324">
        <v>0</v>
      </c>
      <c r="AQ11" s="345">
        <v>0</v>
      </c>
      <c r="AR11" s="354">
        <f t="shared" si="3"/>
        <v>1.8372499999999999E-3</v>
      </c>
      <c r="AS11" s="157">
        <f>IF(OR(AN$6&lt;-60,AN$6&gt;200),"out of range",IF($AN$6="","",AR11*60))</f>
        <v>0.110235</v>
      </c>
    </row>
    <row r="12" spans="2:45" ht="15.95" customHeight="1" x14ac:dyDescent="0.25">
      <c r="B12" s="459"/>
      <c r="C12" s="32">
        <v>125</v>
      </c>
      <c r="D12" s="22">
        <v>0.01</v>
      </c>
      <c r="E12" s="16">
        <v>4.0608312342739117E-7</v>
      </c>
      <c r="F12" s="192">
        <v>2.5175730806949699</v>
      </c>
      <c r="G12" s="38">
        <f t="shared" si="0"/>
        <v>0.56530824186478035</v>
      </c>
      <c r="H12" s="39">
        <f t="shared" si="4"/>
        <v>70.663530233097546</v>
      </c>
      <c r="J12" s="420"/>
      <c r="K12" s="104">
        <v>125</v>
      </c>
      <c r="L12" s="93">
        <v>62.22</v>
      </c>
      <c r="M12" s="88">
        <v>2.1030000000000002</v>
      </c>
      <c r="N12" s="88">
        <v>1.5609999999999999</v>
      </c>
      <c r="O12" s="39">
        <f t="shared" si="1"/>
        <v>220.30389902904523</v>
      </c>
      <c r="Q12" s="378"/>
      <c r="R12" s="235">
        <v>125</v>
      </c>
      <c r="S12" s="131">
        <v>3.4232813363092814E-2</v>
      </c>
      <c r="T12" s="122">
        <v>2.0920243786981638E-2</v>
      </c>
      <c r="U12" s="122">
        <v>5.4765305925577568E-4</v>
      </c>
      <c r="V12" s="122">
        <v>3.3713117586350649E-2</v>
      </c>
      <c r="W12" s="122">
        <v>4.9408434071159912E-4</v>
      </c>
      <c r="X12" s="219">
        <v>1.3639081727037885</v>
      </c>
      <c r="Y12" s="222" t="str">
        <f>IF(T$6&gt;80,"out of range",IF($T$6="","",((S12+T12*$T$6+U12*$T$6^2)/(1+V12*$T$6+W12*$T$6^2))^X12))</f>
        <v>out of range</v>
      </c>
      <c r="AA12" s="446"/>
      <c r="AB12" s="286">
        <v>125</v>
      </c>
      <c r="AC12" s="293">
        <v>0</v>
      </c>
      <c r="AD12" s="294">
        <v>-8.43E-2</v>
      </c>
      <c r="AE12" s="294">
        <v>1.5900000000000001E-2</v>
      </c>
      <c r="AF12" s="294">
        <v>-2.2699999999999999E-3</v>
      </c>
      <c r="AG12" s="295">
        <v>1.08E-4</v>
      </c>
      <c r="AH12" s="264">
        <f t="shared" si="2"/>
        <v>-3.8452E-2</v>
      </c>
      <c r="AI12" s="259">
        <f t="shared" si="5"/>
        <v>-0.99975199999999997</v>
      </c>
      <c r="AK12" s="388"/>
      <c r="AL12" s="340">
        <v>125</v>
      </c>
      <c r="AM12" s="335">
        <v>-1.939E-3</v>
      </c>
      <c r="AN12" s="323">
        <v>7.0129999999999994E-5</v>
      </c>
      <c r="AO12" s="323">
        <v>2.967E-7</v>
      </c>
      <c r="AP12" s="324">
        <v>0</v>
      </c>
      <c r="AQ12" s="345">
        <v>0</v>
      </c>
      <c r="AR12" s="354">
        <f t="shared" si="3"/>
        <v>2.3092499999999997E-3</v>
      </c>
      <c r="AS12" s="157">
        <f>IF(OR(AN$6&lt;-60,AN$6&gt;200),"out of range",IF($AN$6="","",AR12*125))</f>
        <v>0.28865624999999995</v>
      </c>
    </row>
    <row r="13" spans="2:45" ht="15.95" customHeight="1" x14ac:dyDescent="0.25">
      <c r="B13" s="459"/>
      <c r="C13" s="32">
        <v>147</v>
      </c>
      <c r="D13" s="22">
        <v>0.01</v>
      </c>
      <c r="E13" s="16">
        <v>9.1175110350001665E-7</v>
      </c>
      <c r="F13" s="192">
        <v>2.4297727699154854</v>
      </c>
      <c r="G13" s="38">
        <f t="shared" si="0"/>
        <v>0.44952294843376189</v>
      </c>
      <c r="H13" s="39">
        <f t="shared" si="4"/>
        <v>66.079873419763004</v>
      </c>
      <c r="J13" s="420"/>
      <c r="K13" s="104">
        <v>147</v>
      </c>
      <c r="L13" s="93">
        <v>56.51</v>
      </c>
      <c r="M13" s="88">
        <v>2.1030000000000002</v>
      </c>
      <c r="N13" s="88">
        <v>1.5980000000000001</v>
      </c>
      <c r="O13" s="39">
        <f t="shared" si="1"/>
        <v>231.24873954222218</v>
      </c>
      <c r="Q13" s="378"/>
      <c r="R13" s="235">
        <v>147</v>
      </c>
      <c r="S13" s="131">
        <v>2.8877480341436623E-2</v>
      </c>
      <c r="T13" s="122">
        <v>2.651069809226379E-2</v>
      </c>
      <c r="U13" s="122">
        <v>5.2900208064160634E-4</v>
      </c>
      <c r="V13" s="122">
        <v>3.4616180849244137E-2</v>
      </c>
      <c r="W13" s="122">
        <v>5.0251097502411208E-4</v>
      </c>
      <c r="X13" s="219">
        <v>1.3959703187771482</v>
      </c>
      <c r="Y13" s="222" t="str">
        <f>IF(T$6&gt;70,"out of range",IF($T$6="","",((S13+T13*$T$6+U13*$T$6^2)/(1+V13*$T$6+W13*$T$6^2))^X13))</f>
        <v>out of range</v>
      </c>
      <c r="AA13" s="446"/>
      <c r="AB13" s="286">
        <v>147</v>
      </c>
      <c r="AC13" s="293">
        <v>0</v>
      </c>
      <c r="AD13" s="294">
        <v>-0.111</v>
      </c>
      <c r="AE13" s="294">
        <v>2.0400000000000001E-2</v>
      </c>
      <c r="AF13" s="294">
        <v>-2.81E-3</v>
      </c>
      <c r="AG13" s="295">
        <v>1.2999999999999999E-4</v>
      </c>
      <c r="AH13" s="264">
        <f t="shared" si="2"/>
        <v>-5.0743125E-2</v>
      </c>
      <c r="AI13" s="259">
        <f t="shared" si="5"/>
        <v>-1.31932125</v>
      </c>
      <c r="AK13" s="388"/>
      <c r="AL13" s="340">
        <v>147</v>
      </c>
      <c r="AM13" s="335">
        <v>-2.3080000000000002E-3</v>
      </c>
      <c r="AN13" s="323">
        <v>8.4969999999999995E-5</v>
      </c>
      <c r="AO13" s="323">
        <v>2.9429999999999998E-7</v>
      </c>
      <c r="AP13" s="324">
        <v>0</v>
      </c>
      <c r="AQ13" s="345">
        <v>0</v>
      </c>
      <c r="AR13" s="354">
        <f t="shared" si="3"/>
        <v>2.6762499999999994E-3</v>
      </c>
      <c r="AS13" s="157">
        <f>IF(OR(AN$6&lt;-60,AN$6&gt;200),"out of range",IF($AN$6="","",AR13*147))</f>
        <v>0.39340874999999992</v>
      </c>
    </row>
    <row r="14" spans="2:45" ht="15.95" customHeight="1" x14ac:dyDescent="0.25">
      <c r="B14" s="459"/>
      <c r="C14" s="32">
        <v>160</v>
      </c>
      <c r="D14" s="22">
        <v>0.01</v>
      </c>
      <c r="E14" s="16">
        <v>9.5245807478633885E-7</v>
      </c>
      <c r="F14" s="192">
        <v>2.4772252516933335</v>
      </c>
      <c r="G14" s="38">
        <f t="shared" si="0"/>
        <v>0.39366970976291343</v>
      </c>
      <c r="H14" s="39">
        <f t="shared" si="4"/>
        <v>62.987153562066148</v>
      </c>
      <c r="J14" s="420"/>
      <c r="K14" s="104">
        <v>160</v>
      </c>
      <c r="L14" s="93">
        <v>56.51</v>
      </c>
      <c r="M14" s="88">
        <v>2.1030000000000002</v>
      </c>
      <c r="N14" s="88">
        <v>1.5980000000000001</v>
      </c>
      <c r="O14" s="39">
        <f t="shared" si="1"/>
        <v>231.24873954222218</v>
      </c>
      <c r="Q14" s="378"/>
      <c r="R14" s="235">
        <v>160</v>
      </c>
      <c r="S14" s="131">
        <v>2.8425250060599132E-2</v>
      </c>
      <c r="T14" s="122">
        <v>2.737717095798331E-2</v>
      </c>
      <c r="U14" s="122">
        <v>5.1213618759606819E-4</v>
      </c>
      <c r="V14" s="122">
        <v>3.2426070639024959E-2</v>
      </c>
      <c r="W14" s="122">
        <v>5.0515093170500156E-4</v>
      </c>
      <c r="X14" s="219">
        <v>1.3654364070785949</v>
      </c>
      <c r="Y14" s="222" t="str">
        <f>IF(T$6&gt;60,"out of range",IF($T$6="","",((S14+T14*$T$6+U14*$T$6^2)/(1+V14*$T$6+W14*$T$6^2))^X14))</f>
        <v>out of range</v>
      </c>
      <c r="AA14" s="446"/>
      <c r="AB14" s="286">
        <v>160</v>
      </c>
      <c r="AC14" s="293">
        <v>0</v>
      </c>
      <c r="AD14" s="294">
        <v>-0.129</v>
      </c>
      <c r="AE14" s="294">
        <v>2.3900000000000001E-2</v>
      </c>
      <c r="AF14" s="294">
        <v>-3.0799999999999998E-3</v>
      </c>
      <c r="AG14" s="295">
        <v>1.4100000000000001E-4</v>
      </c>
      <c r="AH14" s="264">
        <f t="shared" si="2"/>
        <v>-5.8901187500000007E-2</v>
      </c>
      <c r="AI14" s="259">
        <f t="shared" si="5"/>
        <v>-1.5314308750000003</v>
      </c>
      <c r="AK14" s="388"/>
      <c r="AL14" s="340">
        <v>160</v>
      </c>
      <c r="AM14" s="335">
        <v>-2.3080000000000002E-3</v>
      </c>
      <c r="AN14" s="323">
        <v>8.4969999999999995E-5</v>
      </c>
      <c r="AO14" s="323">
        <v>2.9429999999999998E-7</v>
      </c>
      <c r="AP14" s="324">
        <v>0</v>
      </c>
      <c r="AQ14" s="345">
        <v>0</v>
      </c>
      <c r="AR14" s="354">
        <f t="shared" si="3"/>
        <v>2.6762499999999994E-3</v>
      </c>
      <c r="AS14" s="157">
        <f>IF(OR(AN$6&lt;-60,AN$6&gt;200),"out of range",IF($AN$6="","",AR14*160))</f>
        <v>0.42819999999999991</v>
      </c>
    </row>
    <row r="15" spans="2:45" ht="15.95" customHeight="1" x14ac:dyDescent="0.25">
      <c r="B15" s="459"/>
      <c r="C15" s="32">
        <v>173</v>
      </c>
      <c r="D15" s="22">
        <v>0.01</v>
      </c>
      <c r="E15" s="16">
        <v>8.078101470681603E-7</v>
      </c>
      <c r="F15" s="192">
        <v>2.5633835280555033</v>
      </c>
      <c r="G15" s="38">
        <f t="shared" si="0"/>
        <v>0.35337270707864882</v>
      </c>
      <c r="H15" s="39">
        <f t="shared" si="4"/>
        <v>61.133478324606244</v>
      </c>
      <c r="J15" s="420"/>
      <c r="K15" s="104">
        <v>173</v>
      </c>
      <c r="L15" s="93">
        <v>56.51</v>
      </c>
      <c r="M15" s="88">
        <v>2.1030000000000002</v>
      </c>
      <c r="N15" s="88">
        <v>1.5980000000000001</v>
      </c>
      <c r="O15" s="39">
        <f t="shared" si="1"/>
        <v>231.24873954222218</v>
      </c>
      <c r="Q15" s="378"/>
      <c r="R15" s="235">
        <v>173</v>
      </c>
      <c r="S15" s="131">
        <v>2.9333612094529393E-2</v>
      </c>
      <c r="T15" s="122">
        <v>2.7067455553316189E-2</v>
      </c>
      <c r="U15" s="122">
        <v>4.9165366048311058E-4</v>
      </c>
      <c r="V15" s="122">
        <v>2.795063195594855E-2</v>
      </c>
      <c r="W15" s="122">
        <v>5.1304964349067569E-4</v>
      </c>
      <c r="X15" s="219">
        <v>1.3254708160252788</v>
      </c>
      <c r="Y15" s="222" t="str">
        <f>IF(T$6&gt;50,"out of range",IF($T$6="","",((S15+T15*$T$6+U15*$T$6^2)/(1+V15*$T$6+W15*$T$6^2))^X15))</f>
        <v>out of range</v>
      </c>
      <c r="AA15" s="446"/>
      <c r="AB15" s="286">
        <v>173</v>
      </c>
      <c r="AC15" s="293">
        <v>0</v>
      </c>
      <c r="AD15" s="294">
        <v>-0.129</v>
      </c>
      <c r="AE15" s="294">
        <v>2.3900000000000001E-2</v>
      </c>
      <c r="AF15" s="294">
        <v>-3.0799999999999998E-3</v>
      </c>
      <c r="AG15" s="295">
        <v>1.4100000000000001E-4</v>
      </c>
      <c r="AH15" s="264">
        <f t="shared" si="2"/>
        <v>-5.8901187500000007E-2</v>
      </c>
      <c r="AI15" s="259">
        <f t="shared" si="5"/>
        <v>-1.5314308750000003</v>
      </c>
      <c r="AK15" s="388"/>
      <c r="AL15" s="340">
        <v>173</v>
      </c>
      <c r="AM15" s="335">
        <v>-2.3080000000000002E-3</v>
      </c>
      <c r="AN15" s="323">
        <v>8.4969999999999995E-5</v>
      </c>
      <c r="AO15" s="323">
        <v>2.9429999999999998E-7</v>
      </c>
      <c r="AP15" s="324">
        <v>0</v>
      </c>
      <c r="AQ15" s="345">
        <v>0</v>
      </c>
      <c r="AR15" s="354">
        <f t="shared" si="3"/>
        <v>2.6762499999999994E-3</v>
      </c>
      <c r="AS15" s="157">
        <f>IF(OR(AN$6&lt;-60,AN$6&gt;200),"out of range",IF($AN$6="","",AR15*173))</f>
        <v>0.46299124999999991</v>
      </c>
    </row>
    <row r="16" spans="2:45" ht="15.95" customHeight="1" x14ac:dyDescent="0.25">
      <c r="B16" s="459"/>
      <c r="C16" s="32">
        <v>200</v>
      </c>
      <c r="D16" s="22">
        <v>0.01</v>
      </c>
      <c r="E16" s="16">
        <v>1.4962206702048759E-6</v>
      </c>
      <c r="F16" s="192">
        <v>2.4772252516933335</v>
      </c>
      <c r="G16" s="38" t="str">
        <f t="shared" si="0"/>
        <v>Out of Range</v>
      </c>
      <c r="H16" s="39" t="str">
        <f t="shared" si="4"/>
        <v>Out of Range</v>
      </c>
      <c r="J16" s="420"/>
      <c r="K16" s="104">
        <v>200</v>
      </c>
      <c r="L16" s="93">
        <v>53.71</v>
      </c>
      <c r="M16" s="88">
        <v>2.1030000000000002</v>
      </c>
      <c r="N16" s="88">
        <v>1.6240000000000001</v>
      </c>
      <c r="O16" s="39">
        <f t="shared" si="1"/>
        <v>243.32259495197346</v>
      </c>
      <c r="Q16" s="378"/>
      <c r="R16" s="235">
        <v>200</v>
      </c>
      <c r="S16" s="131">
        <v>2.2570417323519651E-2</v>
      </c>
      <c r="T16" s="122">
        <v>3.2519945060939477E-2</v>
      </c>
      <c r="U16" s="122">
        <v>5.0974592396774089E-4</v>
      </c>
      <c r="V16" s="122">
        <v>3.1702216074285715E-2</v>
      </c>
      <c r="W16" s="122">
        <v>5.2251978458998721E-4</v>
      </c>
      <c r="X16" s="219">
        <v>1.31619957143185</v>
      </c>
      <c r="Y16" s="222" t="str">
        <f>IF(T$6&gt;50,"out of range",IF($T$6="","",((S16+T16*$T$6+U16*$T$6^2)/(1+V16*$T$6+W16*$T$6^2))^X16))</f>
        <v>out of range</v>
      </c>
      <c r="AA16" s="446"/>
      <c r="AB16" s="286">
        <v>200</v>
      </c>
      <c r="AC16" s="293">
        <v>0</v>
      </c>
      <c r="AD16" s="294">
        <v>-0.161</v>
      </c>
      <c r="AE16" s="294">
        <v>3.8199999999999998E-2</v>
      </c>
      <c r="AF16" s="294">
        <v>-5.1700000000000001E-3</v>
      </c>
      <c r="AG16" s="295">
        <v>2.1599999999999999E-4</v>
      </c>
      <c r="AH16" s="264">
        <f t="shared" si="2"/>
        <v>-7.1582750000000001E-2</v>
      </c>
      <c r="AI16" s="259">
        <f t="shared" si="5"/>
        <v>-1.8611515000000001</v>
      </c>
      <c r="AK16" s="388"/>
      <c r="AL16" s="340">
        <v>200</v>
      </c>
      <c r="AM16" s="335">
        <v>-2.5279999999999999E-3</v>
      </c>
      <c r="AN16" s="323">
        <v>9.2109999999999997E-5</v>
      </c>
      <c r="AO16" s="323">
        <v>3.601E-7</v>
      </c>
      <c r="AP16" s="324">
        <v>0</v>
      </c>
      <c r="AQ16" s="345">
        <v>0</v>
      </c>
      <c r="AR16" s="354">
        <f t="shared" si="3"/>
        <v>2.9777500000000004E-3</v>
      </c>
      <c r="AS16" s="157">
        <f>IF(OR(AN$6&lt;-60,AN$6&gt;200),"out of range",IF($AN$6="","",AR16*200))</f>
        <v>0.59555000000000002</v>
      </c>
    </row>
    <row r="17" spans="2:45" ht="15.95" customHeight="1" x14ac:dyDescent="0.25">
      <c r="B17" s="459"/>
      <c r="C17" s="32">
        <v>300</v>
      </c>
      <c r="D17" s="22">
        <v>0.01</v>
      </c>
      <c r="E17" s="16">
        <v>4.9125929880630597E-6</v>
      </c>
      <c r="F17" s="192">
        <v>2.4297727699154854</v>
      </c>
      <c r="G17" s="38" t="str">
        <f t="shared" si="0"/>
        <v>Out of Range</v>
      </c>
      <c r="H17" s="39" t="str">
        <f t="shared" si="4"/>
        <v>Out of Range</v>
      </c>
      <c r="J17" s="420"/>
      <c r="K17" s="104">
        <v>300</v>
      </c>
      <c r="L17" s="93">
        <v>53.71</v>
      </c>
      <c r="M17" s="88">
        <v>2.1030000000000002</v>
      </c>
      <c r="N17" s="88">
        <v>1.6240000000000001</v>
      </c>
      <c r="O17" s="39">
        <f t="shared" si="1"/>
        <v>243.32259495197346</v>
      </c>
      <c r="Q17" s="378"/>
      <c r="R17" s="235">
        <v>300</v>
      </c>
      <c r="S17" s="131">
        <v>2.8804146038795579E-3</v>
      </c>
      <c r="T17" s="122">
        <v>5.1794857805569409E-2</v>
      </c>
      <c r="U17" s="122">
        <v>5.7874396107168301E-4</v>
      </c>
      <c r="V17" s="122">
        <v>4.9043705399761502E-2</v>
      </c>
      <c r="W17" s="122">
        <v>5.099905153062458E-4</v>
      </c>
      <c r="X17" s="219">
        <v>1.2537378354054249</v>
      </c>
      <c r="Y17" s="222" t="str">
        <f>IF(T$6&gt;30,"out of range",IF($T$6="","",((S17+T17*$T$6+U17*$T$6^2)/(1+V17*$T$6+W17*$T$6^2))^X17))</f>
        <v>out of range</v>
      </c>
      <c r="AA17" s="446"/>
      <c r="AB17" s="286">
        <v>300</v>
      </c>
      <c r="AC17" s="293">
        <v>0</v>
      </c>
      <c r="AD17" s="294">
        <v>-0.25900000000000001</v>
      </c>
      <c r="AE17" s="294">
        <v>5.57E-2</v>
      </c>
      <c r="AF17" s="294">
        <v>-6.5300000000000002E-3</v>
      </c>
      <c r="AG17" s="295">
        <v>2.7799999999999998E-4</v>
      </c>
      <c r="AH17" s="264">
        <f t="shared" si="2"/>
        <v>-0.11637387500000002</v>
      </c>
      <c r="AI17" s="259">
        <f t="shared" si="5"/>
        <v>-3.0257207500000005</v>
      </c>
      <c r="AK17" s="388"/>
      <c r="AL17" s="340">
        <v>300</v>
      </c>
      <c r="AM17" s="335">
        <v>-2.5279999999999999E-3</v>
      </c>
      <c r="AN17" s="323">
        <v>9.2109999999999997E-5</v>
      </c>
      <c r="AO17" s="323">
        <v>3.601E-7</v>
      </c>
      <c r="AP17" s="324">
        <v>0</v>
      </c>
      <c r="AQ17" s="345">
        <v>0</v>
      </c>
      <c r="AR17" s="354">
        <f t="shared" si="3"/>
        <v>2.9777500000000004E-3</v>
      </c>
      <c r="AS17" s="157">
        <f>IF(OR(AN$6&lt;-60,AN$6&gt;200),"out of range",IF($AN$6="","",AR17*300))</f>
        <v>0.89332500000000015</v>
      </c>
    </row>
    <row r="18" spans="2:45" ht="15.95" customHeight="1" thickBot="1" x14ac:dyDescent="0.3">
      <c r="B18" s="460"/>
      <c r="C18" s="35">
        <v>550</v>
      </c>
      <c r="D18" s="25">
        <v>0.01</v>
      </c>
      <c r="E18" s="20">
        <v>5.5971197391739167E-4</v>
      </c>
      <c r="F18" s="193">
        <v>1.7095112913514543</v>
      </c>
      <c r="G18" s="44" t="str">
        <f t="shared" si="0"/>
        <v>Out of Range</v>
      </c>
      <c r="H18" s="45" t="str">
        <f t="shared" si="4"/>
        <v>Out of Range</v>
      </c>
      <c r="J18" s="421"/>
      <c r="K18" s="105">
        <v>550</v>
      </c>
      <c r="L18" s="94">
        <v>74.760000000000005</v>
      </c>
      <c r="M18" s="95">
        <v>2.1030000000000002</v>
      </c>
      <c r="N18" s="95">
        <v>1.645</v>
      </c>
      <c r="O18" s="45">
        <f t="shared" si="1"/>
        <v>367.68418469644479</v>
      </c>
      <c r="Q18" s="378"/>
      <c r="R18" s="236">
        <v>550</v>
      </c>
      <c r="S18" s="129">
        <v>1.6808233236749299E-3</v>
      </c>
      <c r="T18" s="124">
        <v>7.554886850582411E-2</v>
      </c>
      <c r="U18" s="124">
        <v>1.1179954191695715E-10</v>
      </c>
      <c r="V18" s="124">
        <v>9.7427739717934239E-2</v>
      </c>
      <c r="W18" s="124">
        <v>1.7540160891647285E-3</v>
      </c>
      <c r="X18" s="220">
        <v>1.1000195261317312</v>
      </c>
      <c r="Y18" s="223" t="str">
        <f>IF(T$6&gt;10,"out of range",IF($T$6="","",((S18+T18*$T$6+U18*$T$6^2)/(1+V18*$T$6+W18*$T$6^2))^X18))</f>
        <v>out of range</v>
      </c>
      <c r="AA18" s="447"/>
      <c r="AB18" s="287">
        <v>550</v>
      </c>
      <c r="AC18" s="296">
        <v>0</v>
      </c>
      <c r="AD18" s="297">
        <v>-0.45900000000000002</v>
      </c>
      <c r="AE18" s="297">
        <v>-3.3</v>
      </c>
      <c r="AF18" s="297">
        <v>8.14</v>
      </c>
      <c r="AG18" s="298">
        <v>-5.73</v>
      </c>
      <c r="AH18" s="265">
        <f>IF(AD$6&gt;1,"out of range",IF($AD$6="","",AC18+AD18*$AD$6+AE18*$AD$6^2+AF18*$AD$6^3+AG18*$AD$6^4))</f>
        <v>-0.39512499999999995</v>
      </c>
      <c r="AI18" s="260">
        <f>IF(AD$6&gt;1,"out of range",IF($AD$6=0,"",AH18*26))</f>
        <v>-10.273249999999999</v>
      </c>
      <c r="AK18" s="388"/>
      <c r="AL18" s="341">
        <v>550</v>
      </c>
      <c r="AM18" s="336">
        <v>-1.3089999999999999E-2</v>
      </c>
      <c r="AN18" s="325">
        <v>4.7160000000000002E-4</v>
      </c>
      <c r="AO18" s="325">
        <v>2.086E-6</v>
      </c>
      <c r="AP18" s="326">
        <v>0</v>
      </c>
      <c r="AQ18" s="346">
        <v>0</v>
      </c>
      <c r="AR18" s="355">
        <f t="shared" si="3"/>
        <v>1.5705E-2</v>
      </c>
      <c r="AS18" s="332">
        <f>IF(OR(AN$6&lt;-60,AN$6&gt;200),"out of range",IF($AN$6="","",AR18*550))</f>
        <v>8.6377500000000005</v>
      </c>
    </row>
    <row r="19" spans="2:45" ht="15.95" customHeight="1" x14ac:dyDescent="0.25">
      <c r="B19" s="469" t="s">
        <v>7</v>
      </c>
      <c r="C19" s="100">
        <v>14</v>
      </c>
      <c r="D19" s="154">
        <v>0.01</v>
      </c>
      <c r="E19" s="18">
        <v>3.389412378818108E-8</v>
      </c>
      <c r="F19" s="194">
        <v>1.9229137421004299</v>
      </c>
      <c r="G19" s="159">
        <f t="shared" ref="G19:G54" si="6">IF(OR(0.01*(1/(D19+E19*(D$6^F19)))&lt;0.3,0.01*(1/(D19+E19*(D$6^F19)))&gt;1),"Out of Range",0.01*(1/(D19+E19*(D$6^F19))))</f>
        <v>0.99377149645340401</v>
      </c>
      <c r="H19" s="37">
        <f t="shared" si="4"/>
        <v>13.912800950347656</v>
      </c>
      <c r="J19" s="425" t="s">
        <v>7</v>
      </c>
      <c r="K19" s="103">
        <v>14</v>
      </c>
      <c r="L19" s="92">
        <v>968.56</v>
      </c>
      <c r="M19" s="90">
        <v>2.218</v>
      </c>
      <c r="N19" s="90">
        <v>1.1890000000000001</v>
      </c>
      <c r="O19" s="37">
        <f t="shared" si="1"/>
        <v>614.047354393604</v>
      </c>
      <c r="Q19" s="404" t="s">
        <v>7</v>
      </c>
      <c r="R19" s="232">
        <v>14</v>
      </c>
      <c r="S19" s="130">
        <v>3.9810592703876171E-2</v>
      </c>
      <c r="T19" s="126">
        <v>2.173827109977261E-2</v>
      </c>
      <c r="U19" s="126">
        <v>4.7445434236578977E-4</v>
      </c>
      <c r="V19" s="126">
        <v>0.17332178268492171</v>
      </c>
      <c r="W19" s="126">
        <v>3.4066922334988621E-4</v>
      </c>
      <c r="X19" s="218">
        <v>1.7494535083245022</v>
      </c>
      <c r="Y19" s="221">
        <f>IF(T$6&gt;1090,"out of range",IF($T$6="","",((S19+T19*$T$6+U19*$T$6^2)/(1+V19*$T$6+W19*$T$6^2))^X19))</f>
        <v>0.1295626309139413</v>
      </c>
      <c r="AA19" s="448" t="s">
        <v>7</v>
      </c>
      <c r="AB19" s="288">
        <v>14</v>
      </c>
      <c r="AC19" s="299">
        <v>0</v>
      </c>
      <c r="AD19" s="300">
        <v>-1.0699999999999999E-2</v>
      </c>
      <c r="AE19" s="300">
        <v>5.9599999999999996E-4</v>
      </c>
      <c r="AF19" s="300">
        <v>-4.9200000000000003E-4</v>
      </c>
      <c r="AG19" s="301">
        <v>3.0700000000000001E-5</v>
      </c>
      <c r="AH19" s="266">
        <f t="shared" ref="AH19:AH47" si="7">IF(AD$6&gt;10,"out of range",IF($AD$6="","",AC19+AD19*$AD$6+AE19*$AD$6^2+AF19*$AD$6^3+AG19*$AD$6^4))</f>
        <v>-5.2605812500000002E-3</v>
      </c>
      <c r="AI19" s="261">
        <f t="shared" ref="AI19:AI47" si="8">IF(AD$6&gt;10,"out of range",IF($AD$6=0,"",AH19*26))</f>
        <v>-0.13677511250000002</v>
      </c>
      <c r="AK19" s="444" t="s">
        <v>7</v>
      </c>
      <c r="AL19" s="339">
        <v>14</v>
      </c>
      <c r="AM19" s="334">
        <v>-2.5000000000000001E-3</v>
      </c>
      <c r="AN19" s="328">
        <v>9.6700000000000006E-5</v>
      </c>
      <c r="AO19" s="328">
        <v>5.5600000000000002E-8</v>
      </c>
      <c r="AP19" s="329">
        <v>0</v>
      </c>
      <c r="AQ19" s="344">
        <v>0</v>
      </c>
      <c r="AR19" s="353">
        <f t="shared" si="3"/>
        <v>2.4739999999999996E-3</v>
      </c>
      <c r="AS19" s="156">
        <f>IF(OR(AN$6&lt;-60,AN$6&gt;200),"out of range",IF($AN$6="","",AR19*14))</f>
        <v>3.4635999999999993E-2</v>
      </c>
    </row>
    <row r="20" spans="2:45" ht="15.95" customHeight="1" x14ac:dyDescent="0.25">
      <c r="B20" s="474"/>
      <c r="C20" s="101">
        <v>26</v>
      </c>
      <c r="D20" s="153">
        <v>0.01</v>
      </c>
      <c r="E20" s="16">
        <v>4.2046566124713119E-9</v>
      </c>
      <c r="F20" s="195">
        <v>2.4259231172557656</v>
      </c>
      <c r="G20" s="160">
        <f t="shared" si="6"/>
        <v>0.99446787606029841</v>
      </c>
      <c r="H20" s="39">
        <f t="shared" si="4"/>
        <v>25.856164777567759</v>
      </c>
      <c r="J20" s="426"/>
      <c r="K20" s="104">
        <v>26</v>
      </c>
      <c r="L20" s="93">
        <v>492.31</v>
      </c>
      <c r="M20" s="88">
        <v>2.218</v>
      </c>
      <c r="N20" s="88">
        <v>1.24</v>
      </c>
      <c r="O20" s="39">
        <f t="shared" si="1"/>
        <v>381.03201095248141</v>
      </c>
      <c r="Q20" s="405"/>
      <c r="R20" s="235">
        <v>26</v>
      </c>
      <c r="S20" s="131">
        <v>3.9686810611771102E-2</v>
      </c>
      <c r="T20" s="122">
        <v>1.9635887818832604E-2</v>
      </c>
      <c r="U20" s="122">
        <v>5.9308094982589606E-4</v>
      </c>
      <c r="V20" s="122">
        <v>0.11627803939468595</v>
      </c>
      <c r="W20" s="122">
        <v>4.0251549609307216E-4</v>
      </c>
      <c r="X20" s="219">
        <v>1.8279215827694026</v>
      </c>
      <c r="Y20" s="222">
        <f>IF(T$6&gt;600,"out of range",IF($T$6="","",((S20+T20*$T$6+U20*$T$6^2)/(1+V20*$T$6+W20*$T$6^2))^X20))</f>
        <v>0.24463224802218878</v>
      </c>
      <c r="AA20" s="446"/>
      <c r="AB20" s="286">
        <v>26</v>
      </c>
      <c r="AC20" s="293">
        <v>0</v>
      </c>
      <c r="AD20" s="294">
        <v>-2.5600000000000001E-2</v>
      </c>
      <c r="AE20" s="294">
        <v>3.4299999999999999E-3</v>
      </c>
      <c r="AF20" s="294">
        <v>-7.3399999999999995E-4</v>
      </c>
      <c r="AG20" s="295">
        <v>3.9900000000000001E-5</v>
      </c>
      <c r="AH20" s="264">
        <f t="shared" si="7"/>
        <v>-1.2031756249999999E-2</v>
      </c>
      <c r="AI20" s="259">
        <f t="shared" si="8"/>
        <v>-0.31282566249999999</v>
      </c>
      <c r="AK20" s="388"/>
      <c r="AL20" s="340">
        <v>26</v>
      </c>
      <c r="AM20" s="335">
        <v>-3.3E-3</v>
      </c>
      <c r="AN20" s="323">
        <v>1.2899999999999999E-4</v>
      </c>
      <c r="AO20" s="323">
        <v>3.8000000000000003E-8</v>
      </c>
      <c r="AP20" s="324">
        <v>0</v>
      </c>
      <c r="AQ20" s="345">
        <v>0</v>
      </c>
      <c r="AR20" s="354">
        <f t="shared" si="3"/>
        <v>3.2449999999999992E-3</v>
      </c>
      <c r="AS20" s="157">
        <f>IF(OR(AN$6&lt;-60,AN$6&gt;200),"out of range",IF($AN$6="","",AR20*26))</f>
        <v>8.4369999999999973E-2</v>
      </c>
    </row>
    <row r="21" spans="2:45" ht="15.95" customHeight="1" x14ac:dyDescent="0.25">
      <c r="B21" s="474"/>
      <c r="C21" s="101">
        <v>40</v>
      </c>
      <c r="D21" s="153">
        <v>0.01</v>
      </c>
      <c r="E21" s="16">
        <v>1.8410663125389004E-8</v>
      </c>
      <c r="F21" s="195">
        <v>2.4094208396532091</v>
      </c>
      <c r="G21" s="160">
        <f t="shared" si="6"/>
        <v>0.97767468798292767</v>
      </c>
      <c r="H21" s="39">
        <f t="shared" si="4"/>
        <v>39.106987519317109</v>
      </c>
      <c r="J21" s="426"/>
      <c r="K21" s="104">
        <v>40</v>
      </c>
      <c r="L21" s="93">
        <v>492.3143666045741</v>
      </c>
      <c r="M21" s="88">
        <v>2.218</v>
      </c>
      <c r="N21" s="88">
        <v>1.24</v>
      </c>
      <c r="O21" s="39">
        <f t="shared" si="1"/>
        <v>381.03539056313713</v>
      </c>
      <c r="Q21" s="405"/>
      <c r="R21" s="235">
        <v>40</v>
      </c>
      <c r="S21" s="131">
        <v>3.9000126425185473E-2</v>
      </c>
      <c r="T21" s="122">
        <v>1.7169916365179925E-2</v>
      </c>
      <c r="U21" s="122">
        <v>6.5274418860646597E-4</v>
      </c>
      <c r="V21" s="122">
        <v>8.5948038347583799E-2</v>
      </c>
      <c r="W21" s="122">
        <v>4.6705100522807059E-4</v>
      </c>
      <c r="X21" s="219">
        <v>1.725127884889391</v>
      </c>
      <c r="Y21" s="222">
        <f>IF(T$6&gt;230,"out of range",IF($T$6="","",((S21+T21*$T$6+U21*$T$6^2)/(1+V21*$T$6+W21*$T$6^2))^X21))</f>
        <v>0.37358140673353729</v>
      </c>
      <c r="AA21" s="446"/>
      <c r="AB21" s="286">
        <v>60</v>
      </c>
      <c r="AC21" s="293">
        <v>0</v>
      </c>
      <c r="AD21" s="294">
        <v>-3.8699999999999998E-2</v>
      </c>
      <c r="AE21" s="294">
        <v>3.0500000000000002E-3</v>
      </c>
      <c r="AF21" s="294">
        <v>-5.4900000000000001E-4</v>
      </c>
      <c r="AG21" s="295">
        <v>2.69E-5</v>
      </c>
      <c r="AH21" s="264">
        <f t="shared" si="7"/>
        <v>-1.8654443749999999E-2</v>
      </c>
      <c r="AI21" s="259">
        <f t="shared" si="8"/>
        <v>-0.48501553749999998</v>
      </c>
      <c r="AK21" s="388"/>
      <c r="AL21" s="340">
        <v>60</v>
      </c>
      <c r="AM21" s="335">
        <v>-4.4000000000000003E-3</v>
      </c>
      <c r="AN21" s="323">
        <v>1.74E-4</v>
      </c>
      <c r="AO21" s="323">
        <v>4.0900000000000002E-8</v>
      </c>
      <c r="AP21" s="324">
        <v>0</v>
      </c>
      <c r="AQ21" s="345">
        <v>0</v>
      </c>
      <c r="AR21" s="354">
        <f t="shared" si="3"/>
        <v>4.402249999999999E-3</v>
      </c>
      <c r="AS21" s="157">
        <f>IF(OR(AN$6&lt;-60,AN$6&gt;200),"out of range",IF($AN$6="","",AR21*60))</f>
        <v>0.26413499999999995</v>
      </c>
    </row>
    <row r="22" spans="2:45" ht="15.95" customHeight="1" x14ac:dyDescent="0.25">
      <c r="B22" s="474"/>
      <c r="C22" s="101">
        <v>60</v>
      </c>
      <c r="D22" s="153">
        <v>0.01</v>
      </c>
      <c r="E22" s="16">
        <v>6.4125732541903577E-8</v>
      </c>
      <c r="F22" s="195">
        <v>2.2905047710416975</v>
      </c>
      <c r="G22" s="160">
        <f>IF(OR(0.01*(1/(D22+E22*(D$6^F22)))&lt;0.3,0.01*(1/(D22+E22*(D$6^F22)))&gt;1),"Out of Range",0.01*(1/(D22+E22*(D$6^F22))))</f>
        <v>0.9524267496757195</v>
      </c>
      <c r="H22" s="39">
        <f>IF(G22="Out of Range","Out of Range",G22*C22)</f>
        <v>57.145604980543169</v>
      </c>
      <c r="J22" s="426"/>
      <c r="K22" s="104">
        <v>60</v>
      </c>
      <c r="L22" s="93">
        <v>246.54</v>
      </c>
      <c r="M22" s="88">
        <v>2.218</v>
      </c>
      <c r="N22" s="88">
        <v>1.3109999999999999</v>
      </c>
      <c r="O22" s="39">
        <f>IF(OR($K$6=0,$N$6=0),"",L22*$K$6^M22*$N$6^N22)</f>
        <v>251.90516214395009</v>
      </c>
      <c r="Q22" s="405"/>
      <c r="R22" s="235">
        <v>60</v>
      </c>
      <c r="S22" s="131">
        <v>3.828127954549973E-2</v>
      </c>
      <c r="T22" s="122">
        <v>1.7997328622547493E-2</v>
      </c>
      <c r="U22" s="122">
        <v>7.012166506159248E-4</v>
      </c>
      <c r="V22" s="122">
        <v>7.0633122549764629E-2</v>
      </c>
      <c r="W22" s="122">
        <v>4.5017670748097826E-4</v>
      </c>
      <c r="X22" s="219">
        <v>1.6303084011488178</v>
      </c>
      <c r="Y22" s="222">
        <f>IF(T$6&gt;270,"out of range",IF($T$6="","",((S22+T22*$T$6+U22*$T$6^2)/(1+V22*$T$6+W22*$T$6^2))^X22))</f>
        <v>0.54097661195210811</v>
      </c>
      <c r="AA22" s="446"/>
      <c r="AB22" s="286">
        <v>125</v>
      </c>
      <c r="AC22" s="293">
        <v>0</v>
      </c>
      <c r="AD22" s="294">
        <v>-8.5999999999999993E-2</v>
      </c>
      <c r="AE22" s="294">
        <v>1.14E-2</v>
      </c>
      <c r="AF22" s="294">
        <v>-1.3699999999999999E-3</v>
      </c>
      <c r="AG22" s="295">
        <v>6.05E-5</v>
      </c>
      <c r="AH22" s="264">
        <f t="shared" si="7"/>
        <v>-4.0317468749999995E-2</v>
      </c>
      <c r="AI22" s="259">
        <f t="shared" si="8"/>
        <v>-1.0482541874999998</v>
      </c>
      <c r="AK22" s="388"/>
      <c r="AL22" s="340">
        <v>125</v>
      </c>
      <c r="AM22" s="335">
        <v>-6.0000000000000001E-3</v>
      </c>
      <c r="AN22" s="323">
        <v>2.4000000000000001E-4</v>
      </c>
      <c r="AO22" s="323">
        <v>3.2199999999999997E-8</v>
      </c>
      <c r="AP22" s="324">
        <v>0</v>
      </c>
      <c r="AQ22" s="345">
        <v>0</v>
      </c>
      <c r="AR22" s="354">
        <f t="shared" si="3"/>
        <v>6.0805E-3</v>
      </c>
      <c r="AS22" s="157">
        <f>IF(OR(AN$6&lt;-60,AN$6&gt;200),"out of range",IF($AN$6="","",AR22*125))</f>
        <v>0.76006249999999997</v>
      </c>
    </row>
    <row r="23" spans="2:45" ht="15.95" customHeight="1" x14ac:dyDescent="0.25">
      <c r="B23" s="474"/>
      <c r="C23" s="101">
        <v>125</v>
      </c>
      <c r="D23" s="153">
        <v>0.01</v>
      </c>
      <c r="E23" s="16">
        <v>1.402709576156965E-7</v>
      </c>
      <c r="F23" s="195">
        <v>2.4653666630338531</v>
      </c>
      <c r="G23" s="160">
        <f>IF(OR(0.01*(1/(D23+E23*(D$6^F23)))&lt;0.3,0.01*(1/(D23+E23*(D$6^F23)))&gt;1),"Out of Range",0.01*(1/(D23+E23*(D$6^F23))))</f>
        <v>0.82199879141726584</v>
      </c>
      <c r="H23" s="39">
        <f>IF(G23="Out of Range","Out of Range",G23*C23)</f>
        <v>102.74984892715823</v>
      </c>
      <c r="J23" s="426"/>
      <c r="K23" s="104">
        <v>125</v>
      </c>
      <c r="L23" s="93">
        <v>181.08</v>
      </c>
      <c r="M23" s="88">
        <v>2.218</v>
      </c>
      <c r="N23" s="88">
        <v>1.3779999999999999</v>
      </c>
      <c r="O23" s="39">
        <f>IF(OR($K$6=0,$N$6=0),"",L23*$K$6^M23*$N$6^N23)</f>
        <v>240.46460058248482</v>
      </c>
      <c r="Q23" s="405"/>
      <c r="R23" s="235">
        <v>125</v>
      </c>
      <c r="S23" s="131">
        <v>3.7901260334453242E-2</v>
      </c>
      <c r="T23" s="122">
        <v>2.125769808227642E-2</v>
      </c>
      <c r="U23" s="122">
        <v>7.0801447472926932E-4</v>
      </c>
      <c r="V23" s="122">
        <v>4.1385119534877494E-2</v>
      </c>
      <c r="W23" s="122">
        <v>4.2228222983575411E-4</v>
      </c>
      <c r="X23" s="219">
        <v>1.4327407901419182</v>
      </c>
      <c r="Y23" s="222">
        <f>IF(T$6&gt;130,"out of range",IF($T$6="","",((S23+T23*$T$6+U23*$T$6^2)/(1+V23*$T$6+W23*$T$6^2))^X23))</f>
        <v>0.95193505151826285</v>
      </c>
      <c r="AA23" s="446"/>
      <c r="AB23" s="286">
        <v>147</v>
      </c>
      <c r="AC23" s="293">
        <v>0</v>
      </c>
      <c r="AD23" s="294">
        <v>-8.1699999999999995E-2</v>
      </c>
      <c r="AE23" s="294">
        <v>7.3299999999999997E-3</v>
      </c>
      <c r="AF23" s="294">
        <v>-6.4000000000000005E-4</v>
      </c>
      <c r="AG23" s="295">
        <v>2.3900000000000002E-5</v>
      </c>
      <c r="AH23" s="264">
        <f t="shared" si="7"/>
        <v>-3.9096006249999996E-2</v>
      </c>
      <c r="AI23" s="259">
        <f t="shared" si="8"/>
        <v>-1.0164961625</v>
      </c>
      <c r="AK23" s="388"/>
      <c r="AL23" s="340">
        <v>147</v>
      </c>
      <c r="AM23" s="335">
        <v>-7.9000000000000008E-3</v>
      </c>
      <c r="AN23" s="323">
        <v>3.1399999999999999E-4</v>
      </c>
      <c r="AO23" s="323">
        <v>7.3099999999999999E-8</v>
      </c>
      <c r="AP23" s="324">
        <v>0</v>
      </c>
      <c r="AQ23" s="345">
        <v>0</v>
      </c>
      <c r="AR23" s="354">
        <f t="shared" si="3"/>
        <v>7.9827499999999985E-3</v>
      </c>
      <c r="AS23" s="157">
        <f>IF(OR(AN$6&lt;-60,AN$6&gt;200),"out of range",IF($AN$6="","",AR23*147))</f>
        <v>1.1734642499999999</v>
      </c>
    </row>
    <row r="24" spans="2:45" ht="15.95" customHeight="1" thickBot="1" x14ac:dyDescent="0.3">
      <c r="B24" s="474"/>
      <c r="C24" s="101">
        <v>147</v>
      </c>
      <c r="D24" s="153">
        <v>0.01</v>
      </c>
      <c r="E24" s="16">
        <v>1.2070273621681354E-6</v>
      </c>
      <c r="F24" s="195">
        <v>2.1308343922747586</v>
      </c>
      <c r="G24" s="160">
        <f>IF(OR(0.01*(1/(D24+E24*(D$6^F24)))&lt;0.3,0.01*(1/(D24+E24*(D$6^F24)))&gt;1),"Out of Range",0.01*(1/(D24+E24*(D$6^F24))))</f>
        <v>0.66514480790165476</v>
      </c>
      <c r="H24" s="39">
        <f>IF(G24="Out of Range","Out of Range",G24*C24)</f>
        <v>97.776286761543247</v>
      </c>
      <c r="J24" s="426"/>
      <c r="K24" s="104">
        <v>147</v>
      </c>
      <c r="L24" s="93">
        <v>405.59</v>
      </c>
      <c r="M24" s="88">
        <v>2.218</v>
      </c>
      <c r="N24" s="88">
        <v>1.393</v>
      </c>
      <c r="O24" s="39">
        <f>IF(OR($K$6=0,$N$6=0),"",L24*$K$6^M24*$N$6^N24)</f>
        <v>571.15299012734658</v>
      </c>
      <c r="Q24" s="405"/>
      <c r="R24" s="235">
        <v>147</v>
      </c>
      <c r="S24" s="131">
        <v>3.4979774267281993E-2</v>
      </c>
      <c r="T24" s="122">
        <v>2.4038070516104359E-2</v>
      </c>
      <c r="U24" s="122">
        <v>6.7774511079281665E-4</v>
      </c>
      <c r="V24" s="122">
        <v>3.9154122937567419E-2</v>
      </c>
      <c r="W24" s="122">
        <v>4.3733003747863184E-4</v>
      </c>
      <c r="X24" s="219">
        <v>1.3657810017161309</v>
      </c>
      <c r="Y24" s="222">
        <f>IF(T$6&gt;100,"out of range",IF($T$6="","",((S24+T24*$T$6+U24*$T$6^2)/(1+V24*$T$6+W24*$T$6^2))^X24))</f>
        <v>0.96372796304311192</v>
      </c>
      <c r="AA24" s="449"/>
      <c r="AB24" s="289">
        <v>160</v>
      </c>
      <c r="AC24" s="302">
        <v>0</v>
      </c>
      <c r="AD24" s="303">
        <v>-8.5900000000000004E-2</v>
      </c>
      <c r="AE24" s="303">
        <v>7.2199999999999999E-3</v>
      </c>
      <c r="AF24" s="303">
        <v>-5.53E-4</v>
      </c>
      <c r="AG24" s="304">
        <v>1.88E-5</v>
      </c>
      <c r="AH24" s="267">
        <f t="shared" si="7"/>
        <v>-4.1212950000000005E-2</v>
      </c>
      <c r="AI24" s="262">
        <f t="shared" si="8"/>
        <v>-1.0715367000000002</v>
      </c>
      <c r="AK24" s="450"/>
      <c r="AL24" s="342">
        <v>160</v>
      </c>
      <c r="AM24" s="337">
        <v>-9.1999999999999998E-3</v>
      </c>
      <c r="AN24" s="330">
        <v>3.6699999999999998E-4</v>
      </c>
      <c r="AO24" s="330">
        <v>1.7500000000000001E-8</v>
      </c>
      <c r="AP24" s="331">
        <v>0</v>
      </c>
      <c r="AQ24" s="347">
        <v>0</v>
      </c>
      <c r="AR24" s="356">
        <f t="shared" si="3"/>
        <v>9.1937499999999988E-3</v>
      </c>
      <c r="AS24" s="158">
        <f>IF(OR(AN$6&lt;-60,AN$6&gt;200),"out of range",IF($AN$6="","",AR24*160))</f>
        <v>1.4709999999999999</v>
      </c>
    </row>
    <row r="25" spans="2:45" ht="15.95" customHeight="1" thickBot="1" x14ac:dyDescent="0.3">
      <c r="B25" s="474"/>
      <c r="C25" s="102">
        <v>160</v>
      </c>
      <c r="D25" s="155">
        <v>0.01</v>
      </c>
      <c r="E25" s="19">
        <v>1.7037297726250924E-6</v>
      </c>
      <c r="F25" s="196">
        <v>2.0944335903463975</v>
      </c>
      <c r="G25" s="161">
        <f>IF(OR(0.01*(1/(D25+E25*(D$6^F25)))&lt;0.3,0.01*(1/(D25+E25*(D$6^F25)))&gt;1),"Out of Range",0.01*(1/(D25+E25*(D$6^F25))))</f>
        <v>0.61870333006544398</v>
      </c>
      <c r="H25" s="41">
        <f>IF(G25="Out of Range","Out of Range",G25*C25)</f>
        <v>98.992532810471033</v>
      </c>
      <c r="J25" s="426"/>
      <c r="K25" s="106">
        <v>160</v>
      </c>
      <c r="L25" s="99">
        <v>390.92</v>
      </c>
      <c r="M25" s="91">
        <v>2.218</v>
      </c>
      <c r="N25" s="91">
        <v>1.401</v>
      </c>
      <c r="O25" s="41">
        <f>IF(OR($K$6=0,$N$6=0),"",L25*$K$6^M25*$N$6^N25)</f>
        <v>567.99546231924694</v>
      </c>
      <c r="Q25" s="405"/>
      <c r="R25" s="233">
        <v>160</v>
      </c>
      <c r="S25" s="132">
        <v>3.4126943935589113E-2</v>
      </c>
      <c r="T25" s="127">
        <v>2.4488652847903348E-2</v>
      </c>
      <c r="U25" s="127">
        <v>6.7984668784156594E-4</v>
      </c>
      <c r="V25" s="127">
        <v>3.6986572950049729E-2</v>
      </c>
      <c r="W25" s="127">
        <v>4.4106386059084788E-4</v>
      </c>
      <c r="X25" s="227">
        <v>1.3264317894960782</v>
      </c>
      <c r="Y25" s="224" t="str">
        <f>IF(T$6&gt;90,"out of range",IF($T$6="","",((S25+T25*$T$6+U25*$T$6^2)/(1+V25*$T$6+W25*$T$6^2))^X25))</f>
        <v>out of range</v>
      </c>
      <c r="AA25" s="445" t="s">
        <v>34</v>
      </c>
      <c r="AB25" s="285">
        <v>26</v>
      </c>
      <c r="AC25" s="290">
        <v>0</v>
      </c>
      <c r="AD25" s="291">
        <v>-4.4838512727272736E-3</v>
      </c>
      <c r="AE25" s="291">
        <v>3.1749072727272725E-4</v>
      </c>
      <c r="AF25" s="291">
        <v>-1.3786996363636365E-5</v>
      </c>
      <c r="AG25" s="292">
        <v>0</v>
      </c>
      <c r="AH25" s="263">
        <f t="shared" si="7"/>
        <v>-2.1642763290909096E-3</v>
      </c>
      <c r="AI25" s="258">
        <f t="shared" si="8"/>
        <v>-5.6271184556363651E-2</v>
      </c>
      <c r="AK25" s="388" t="s">
        <v>34</v>
      </c>
      <c r="AL25" s="343">
        <v>26</v>
      </c>
      <c r="AM25" s="338">
        <v>-1.5314999999999999E-3</v>
      </c>
      <c r="AN25" s="327">
        <v>6.0535000000000002E-5</v>
      </c>
      <c r="AO25" s="327">
        <v>7.2202499999999988E-8</v>
      </c>
      <c r="AP25" s="327">
        <v>-6.6234999999999999E-10</v>
      </c>
      <c r="AQ25" s="348">
        <v>1.2500150000000001E-12</v>
      </c>
      <c r="AR25" s="357">
        <f t="shared" ref="AR25:AR29" si="9">IF(OR(AN$6&lt;-60,AN$6&gt;200),"out of range",IF($AN$6="","",AM25+AN25*$AN$6+AO25*$AN$6^2+AP25*$AN$6^3+AQ25*$AN$6^4))</f>
        <v>1.6007750937499998E-3</v>
      </c>
      <c r="AS25" s="333">
        <f t="shared" ref="AS25:AS29" si="10">IF(OR(AN$6&lt;-60,AN$6&gt;200),"out of range",IF($AN$6="","",AR25*160))</f>
        <v>0.25612401499999998</v>
      </c>
    </row>
    <row r="26" spans="2:45" ht="15.95" customHeight="1" thickBot="1" x14ac:dyDescent="0.3">
      <c r="B26" s="459"/>
      <c r="C26" s="461" t="s">
        <v>26</v>
      </c>
      <c r="D26" s="462"/>
      <c r="E26" s="462"/>
      <c r="F26" s="462"/>
      <c r="G26" s="462"/>
      <c r="H26" s="463"/>
      <c r="J26" s="426"/>
      <c r="K26" s="441" t="s">
        <v>26</v>
      </c>
      <c r="L26" s="442"/>
      <c r="M26" s="442"/>
      <c r="N26" s="442"/>
      <c r="O26" s="443"/>
      <c r="Q26" s="405"/>
      <c r="R26" s="455" t="s">
        <v>26</v>
      </c>
      <c r="S26" s="456"/>
      <c r="T26" s="456"/>
      <c r="U26" s="456"/>
      <c r="V26" s="456"/>
      <c r="W26" s="456"/>
      <c r="X26" s="456"/>
      <c r="Y26" s="457"/>
      <c r="AA26" s="447"/>
      <c r="AB26" s="287">
        <v>60</v>
      </c>
      <c r="AC26" s="296">
        <v>0</v>
      </c>
      <c r="AD26" s="297">
        <v>-1.0347349090909093E-2</v>
      </c>
      <c r="AE26" s="297">
        <v>7.3267090909090904E-4</v>
      </c>
      <c r="AF26" s="297">
        <v>-3.1816145454545457E-5</v>
      </c>
      <c r="AG26" s="298">
        <v>0</v>
      </c>
      <c r="AH26" s="268">
        <f t="shared" si="7"/>
        <v>-4.9944838363636382E-3</v>
      </c>
      <c r="AI26" s="260">
        <f t="shared" si="8"/>
        <v>-0.12985657974545459</v>
      </c>
      <c r="AK26" s="388"/>
      <c r="AL26" s="341">
        <v>60</v>
      </c>
      <c r="AM26" s="336">
        <v>-2.1336000000000003E-3</v>
      </c>
      <c r="AN26" s="325">
        <v>8.1923999999999997E-5</v>
      </c>
      <c r="AO26" s="325">
        <v>1.6427999999999999E-7</v>
      </c>
      <c r="AP26" s="325">
        <v>-1.2420000000000001E-9</v>
      </c>
      <c r="AQ26" s="349">
        <v>2.9375999999999999E-12</v>
      </c>
      <c r="AR26" s="355">
        <f t="shared" si="9"/>
        <v>2.236409999999999E-3</v>
      </c>
      <c r="AS26" s="332">
        <f t="shared" si="10"/>
        <v>0.35782559999999985</v>
      </c>
    </row>
    <row r="27" spans="2:45" ht="15.95" customHeight="1" x14ac:dyDescent="0.25">
      <c r="B27" s="459"/>
      <c r="C27" s="62">
        <v>60</v>
      </c>
      <c r="D27" s="24">
        <v>0.01</v>
      </c>
      <c r="E27" s="17">
        <v>1.5740617426774838E-7</v>
      </c>
      <c r="F27" s="197">
        <v>2.1659585175103904</v>
      </c>
      <c r="G27" s="42">
        <f>IF(OR(0.01*(1/(D27+E27*(D$6^F27)))&lt;0.3,0.01*(1/(D27+E27*(D$6^F27)))&gt;1),"Out of Range",0.01*(1/(D27+E27*(D$6^F27))))</f>
        <v>0.92995423361349083</v>
      </c>
      <c r="H27" s="43">
        <f>IF(G27="Out of Range","Out of Range",G27*C27)</f>
        <v>55.797254016809447</v>
      </c>
      <c r="J27" s="426"/>
      <c r="K27" s="103">
        <v>60</v>
      </c>
      <c r="L27" s="97">
        <f>IF($N$6&gt;25, 47.507, 151.439)</f>
        <v>47.506999999999998</v>
      </c>
      <c r="M27" s="96">
        <v>1.585</v>
      </c>
      <c r="N27" s="96">
        <f>IF($N$6&gt;25, 1.431, 1.086)</f>
        <v>1.431</v>
      </c>
      <c r="O27" s="43">
        <f>IF(OR($K$6=0,$N$6=0),"",L27*$K$6^M27*$N$6^N27)</f>
        <v>333.41388528538346</v>
      </c>
      <c r="Q27" s="405"/>
      <c r="R27" s="232">
        <v>60</v>
      </c>
      <c r="S27" s="128">
        <v>9.2161021507507476E-2</v>
      </c>
      <c r="T27" s="125">
        <v>1.9782033510262496E-2</v>
      </c>
      <c r="U27" s="125">
        <v>8.6339414106680751E-4</v>
      </c>
      <c r="V27" s="125">
        <v>7.6218492873795105E-2</v>
      </c>
      <c r="W27" s="125">
        <v>6.3090150081641862E-4</v>
      </c>
      <c r="X27" s="226">
        <v>1.7991617221838028</v>
      </c>
      <c r="Y27" s="221">
        <f>IF(T$6&gt;240,"out of range",IF($T$6="","",((S27+T27*$T$6+U27*$T$6^2)/(1+V27*$T$6+W27*$T$6^2))^X27))</f>
        <v>0.52729524245000536</v>
      </c>
      <c r="AA27" s="448" t="s">
        <v>46</v>
      </c>
      <c r="AB27" s="288">
        <v>26</v>
      </c>
      <c r="AC27" s="299">
        <v>0</v>
      </c>
      <c r="AD27" s="300">
        <v>-4.3709999999999999E-3</v>
      </c>
      <c r="AE27" s="300">
        <v>3.0949999999999999E-4</v>
      </c>
      <c r="AF27" s="300">
        <v>-1.344E-5</v>
      </c>
      <c r="AG27" s="301">
        <v>0</v>
      </c>
      <c r="AH27" s="266">
        <f t="shared" si="7"/>
        <v>-2.1098049999999998E-3</v>
      </c>
      <c r="AI27" s="261">
        <f t="shared" si="8"/>
        <v>-5.4854929999999996E-2</v>
      </c>
      <c r="AK27" s="389" t="s">
        <v>46</v>
      </c>
      <c r="AL27" s="358">
        <v>26</v>
      </c>
      <c r="AM27" s="334">
        <v>-2.2680000000000001E-3</v>
      </c>
      <c r="AN27" s="328">
        <v>1.373E-4</v>
      </c>
      <c r="AO27" s="328">
        <v>-2.0549999999999998E-6</v>
      </c>
      <c r="AP27" s="328">
        <v>1.755E-9</v>
      </c>
      <c r="AQ27" s="350">
        <v>1.316E-11</v>
      </c>
      <c r="AR27" s="353">
        <f t="shared" si="9"/>
        <v>-2.3887499999999931E-4</v>
      </c>
      <c r="AS27" s="156">
        <f t="shared" si="10"/>
        <v>-3.8219999999999893E-2</v>
      </c>
    </row>
    <row r="28" spans="2:45" ht="15.95" customHeight="1" thickBot="1" x14ac:dyDescent="0.3">
      <c r="B28" s="460"/>
      <c r="C28" s="61">
        <v>125</v>
      </c>
      <c r="D28" s="23">
        <v>0.01</v>
      </c>
      <c r="E28" s="19">
        <v>9.0077806938487449E-7</v>
      </c>
      <c r="F28" s="198">
        <v>2.1079820627935018</v>
      </c>
      <c r="G28" s="40">
        <f>IF(OR(0.01*(1/(D28+E28*(D$6^F28)))&lt;0.3,0.01*(1/(D28+E28*(D$6^F28)))&gt;1),"Out of Range",0.01*(1/(D28+E28*(D$6^F28))))</f>
        <v>0.74428536770239828</v>
      </c>
      <c r="H28" s="41">
        <f>IF(G28="Out of Range","Out of Range",G28*C28)</f>
        <v>93.035670962799784</v>
      </c>
      <c r="J28" s="427"/>
      <c r="K28" s="105">
        <v>125</v>
      </c>
      <c r="L28" s="94">
        <f>IF($N$6&gt;25, 47.507, 151.439)</f>
        <v>47.506999999999998</v>
      </c>
      <c r="M28" s="95">
        <v>1.585</v>
      </c>
      <c r="N28" s="95">
        <f>IF($N$6&gt;25, 1.431, 1.086)</f>
        <v>1.431</v>
      </c>
      <c r="O28" s="45">
        <f>IF(OR($K$6=0,$N$6=0),"",L28*$K$6^M28*$N$6^N28)</f>
        <v>333.41388528538346</v>
      </c>
      <c r="Q28" s="406"/>
      <c r="R28" s="233">
        <v>125</v>
      </c>
      <c r="S28" s="129">
        <v>4.7146973383665351E-2</v>
      </c>
      <c r="T28" s="124">
        <v>1.8308000330335871E-2</v>
      </c>
      <c r="U28" s="124">
        <v>1.2346539750411906E-3</v>
      </c>
      <c r="V28" s="124">
        <v>6.3644077684453126E-2</v>
      </c>
      <c r="W28" s="124">
        <v>7.8429052642083183E-4</v>
      </c>
      <c r="X28" s="220">
        <v>1.34777094495852</v>
      </c>
      <c r="Y28" s="223">
        <f>IF(T$6&gt;120,"out of range",IF($T$6="","",((S28+T28*$T$6+U28*$T$6^2)/(1+V28*$T$6+W28*$T$6^2))^X28))</f>
        <v>0.8876578011966908</v>
      </c>
      <c r="AA28" s="449"/>
      <c r="AB28" s="289">
        <v>60</v>
      </c>
      <c r="AC28" s="302">
        <v>0</v>
      </c>
      <c r="AD28" s="303">
        <v>-9.1791000000000008E-3</v>
      </c>
      <c r="AE28" s="303">
        <v>6.4994999999999994E-4</v>
      </c>
      <c r="AF28" s="303">
        <v>-2.8223999999999999E-5</v>
      </c>
      <c r="AG28" s="304">
        <v>0</v>
      </c>
      <c r="AH28" s="267">
        <f t="shared" si="7"/>
        <v>-4.4305905000000005E-3</v>
      </c>
      <c r="AI28" s="262">
        <f t="shared" si="8"/>
        <v>-0.11519535300000001</v>
      </c>
      <c r="AK28" s="390"/>
      <c r="AL28" s="359">
        <v>60</v>
      </c>
      <c r="AM28" s="337">
        <v>-5.4409999999999997E-3</v>
      </c>
      <c r="AN28" s="330">
        <v>3.2170000000000001E-4</v>
      </c>
      <c r="AO28" s="330">
        <v>-5.135E-6</v>
      </c>
      <c r="AP28" s="330">
        <v>1.3200000000000001E-8</v>
      </c>
      <c r="AQ28" s="351">
        <v>2.276E-12</v>
      </c>
      <c r="AR28" s="356">
        <f t="shared" si="9"/>
        <v>-5.2927499999999756E-4</v>
      </c>
      <c r="AS28" s="158">
        <f t="shared" si="10"/>
        <v>-8.4683999999999607E-2</v>
      </c>
    </row>
    <row r="29" spans="2:45" ht="15.95" customHeight="1" x14ac:dyDescent="0.25">
      <c r="B29" s="469" t="s">
        <v>34</v>
      </c>
      <c r="C29" s="100">
        <v>26</v>
      </c>
      <c r="D29" s="21">
        <v>0.01</v>
      </c>
      <c r="E29" s="18">
        <v>3.6455655264443349E-11</v>
      </c>
      <c r="F29" s="191">
        <v>3.1921264058492484</v>
      </c>
      <c r="G29" s="36">
        <f t="shared" ref="G29:G30" si="11">IF(OR(0.01*(1/(D29+E29*(D$6^F29)))&lt;0.3,0.01*(1/(D29+E29*(D$6^F29)))&gt;1),"Out of Range",0.01*(1/(D29+E29*(D$6^F29))))</f>
        <v>0.99903467737412199</v>
      </c>
      <c r="H29" s="37">
        <f t="shared" ref="H29:H30" si="12">IF(G29="Out of Range","Out of Range",G29*C29)</f>
        <v>25.974901611727173</v>
      </c>
      <c r="J29" s="425" t="s">
        <v>34</v>
      </c>
      <c r="K29" s="103">
        <v>26</v>
      </c>
      <c r="L29" s="92">
        <v>278.5928744659646</v>
      </c>
      <c r="M29" s="90">
        <v>2.218</v>
      </c>
      <c r="N29" s="90">
        <v>1.236</v>
      </c>
      <c r="O29" s="37">
        <f t="shared" ref="O29:O71" si="13">IF(OR($K$6=0,$N$6=0),"",L29*$K$6^M29*$N$6^N29)</f>
        <v>212.27406161170975</v>
      </c>
      <c r="Q29" s="404" t="s">
        <v>34</v>
      </c>
      <c r="R29" s="232">
        <v>26</v>
      </c>
      <c r="S29" s="130">
        <v>4.2470613310884066E-2</v>
      </c>
      <c r="T29" s="126">
        <v>2.1533289207660629E-2</v>
      </c>
      <c r="U29" s="126">
        <v>6.1918613649219784E-4</v>
      </c>
      <c r="V29" s="126">
        <v>0.11572052273462574</v>
      </c>
      <c r="W29" s="126">
        <v>4.154450492402336E-4</v>
      </c>
      <c r="X29" s="218">
        <v>1.9509843329286856</v>
      </c>
      <c r="Y29" s="221">
        <f>IF(T$6&gt;575,"out of range",IF($T$6="","",((S29+T29*$T$6+U29*$T$6^2)/(1+V29*$T$6+W29*$T$6^2))^X29))</f>
        <v>0.24627812257657147</v>
      </c>
      <c r="AA29" s="445" t="s">
        <v>8</v>
      </c>
      <c r="AB29" s="285">
        <v>14</v>
      </c>
      <c r="AC29" s="305">
        <v>1.9109999999999998E-4</v>
      </c>
      <c r="AD29" s="291">
        <v>-4.2979999999999997E-3</v>
      </c>
      <c r="AE29" s="291">
        <v>-5.0020000000000006E-5</v>
      </c>
      <c r="AF29" s="291">
        <v>1.3730000000000001E-5</v>
      </c>
      <c r="AG29" s="292">
        <v>-6.2610000000000003E-7</v>
      </c>
      <c r="AH29" s="263">
        <f t="shared" si="7"/>
        <v>-1.9687278812499996E-3</v>
      </c>
      <c r="AI29" s="258">
        <f t="shared" si="8"/>
        <v>-5.1186924912499987E-2</v>
      </c>
      <c r="AK29" s="388" t="s">
        <v>8</v>
      </c>
      <c r="AL29" s="343">
        <v>14</v>
      </c>
      <c r="AM29" s="338">
        <v>-1.892E-3</v>
      </c>
      <c r="AN29" s="327">
        <v>9.8659999999999994E-5</v>
      </c>
      <c r="AO29" s="327">
        <v>-1.9659999999999999E-6</v>
      </c>
      <c r="AP29" s="327">
        <v>5.7280000000000001E-9</v>
      </c>
      <c r="AQ29" s="348">
        <v>-8.7059999999999997E-14</v>
      </c>
      <c r="AR29" s="357">
        <f t="shared" si="9"/>
        <v>-1.1585441250000002E-3</v>
      </c>
      <c r="AS29" s="333">
        <f t="shared" si="10"/>
        <v>-0.18536706000000003</v>
      </c>
    </row>
    <row r="30" spans="2:45" ht="15.95" customHeight="1" thickBot="1" x14ac:dyDescent="0.3">
      <c r="B30" s="470"/>
      <c r="C30" s="102">
        <v>60</v>
      </c>
      <c r="D30" s="23">
        <v>0.01</v>
      </c>
      <c r="E30" s="19">
        <v>9.2023777337187077E-10</v>
      </c>
      <c r="F30" s="198">
        <v>3.0436198518257798</v>
      </c>
      <c r="G30" s="40">
        <f t="shared" si="11"/>
        <v>0.9865403507695315</v>
      </c>
      <c r="H30" s="41">
        <f t="shared" si="12"/>
        <v>59.192421046171887</v>
      </c>
      <c r="J30" s="427"/>
      <c r="K30" s="106">
        <v>60</v>
      </c>
      <c r="L30" s="99">
        <v>181.14705076491467</v>
      </c>
      <c r="M30" s="91">
        <v>2.218</v>
      </c>
      <c r="N30" s="91">
        <v>1.2669999999999999</v>
      </c>
      <c r="O30" s="41">
        <f t="shared" si="13"/>
        <v>155.82109904880892</v>
      </c>
      <c r="Q30" s="406"/>
      <c r="R30" s="233">
        <v>60</v>
      </c>
      <c r="S30" s="132">
        <v>4.7534189329440993E-2</v>
      </c>
      <c r="T30" s="127">
        <v>1.3524844417800441E-2</v>
      </c>
      <c r="U30" s="127">
        <v>7.5861519116372843E-4</v>
      </c>
      <c r="V30" s="127">
        <v>7.2512245744971907E-2</v>
      </c>
      <c r="W30" s="127">
        <v>4.3677635122200097E-4</v>
      </c>
      <c r="X30" s="227">
        <v>1.5377897645789615</v>
      </c>
      <c r="Y30" s="223">
        <f>IF(T$6&gt;270,"out of range",IF($T$6="","",((S30+T30*$T$6+U30*$T$6^2)/(1+V30*$T$6+W30*$T$6^2))^X30))</f>
        <v>0.56685953542860257</v>
      </c>
      <c r="AA30" s="446"/>
      <c r="AB30" s="286">
        <v>26</v>
      </c>
      <c r="AC30" s="306">
        <v>3.5499999999999996E-4</v>
      </c>
      <c r="AD30" s="294">
        <v>-7.9819999999999995E-3</v>
      </c>
      <c r="AE30" s="294">
        <v>-9.2899999999999995E-5</v>
      </c>
      <c r="AF30" s="294">
        <v>2.5509999999999998E-5</v>
      </c>
      <c r="AG30" s="295">
        <v>-1.1629999999999999E-6</v>
      </c>
      <c r="AH30" s="264">
        <f t="shared" si="7"/>
        <v>-3.6561089374999999E-3</v>
      </c>
      <c r="AI30" s="259">
        <f t="shared" si="8"/>
        <v>-9.5058832374999999E-2</v>
      </c>
      <c r="AK30" s="388"/>
      <c r="AL30" s="340">
        <v>26</v>
      </c>
      <c r="AM30" s="335">
        <v>-2.8566816767468294E-3</v>
      </c>
      <c r="AN30" s="323">
        <v>1.6408972351181534E-4</v>
      </c>
      <c r="AO30" s="323">
        <v>-3.2327973586926702E-6</v>
      </c>
      <c r="AP30" s="323">
        <v>1.1466043828458718E-8</v>
      </c>
      <c r="AQ30" s="352">
        <v>-8.391358285423173E-12</v>
      </c>
      <c r="AR30" s="354">
        <f t="shared" ref="AR30:AR35" si="14">IF(OR(AN$6&lt;-60,AN$6&gt;200),"out of range",IF($AN$6="","",AM30+AN30*$AN$6+AO30*$AN$6^2+AP30*$AN$6^3+AQ30*$AN$6^4))</f>
        <v>-1.3533794086142944E-3</v>
      </c>
      <c r="AS30" s="157">
        <f>IF(OR(AN$6&lt;-60,AN$6&gt;200),"out of range",IF($AN$6="","",AR30*26))</f>
        <v>-3.5187864623971651E-2</v>
      </c>
    </row>
    <row r="31" spans="2:45" ht="15.95" customHeight="1" x14ac:dyDescent="0.25">
      <c r="B31" s="469" t="s">
        <v>46</v>
      </c>
      <c r="C31" s="100">
        <v>26</v>
      </c>
      <c r="D31" s="21">
        <v>0.01</v>
      </c>
      <c r="E31" s="18">
        <v>3.5556495804772707E-8</v>
      </c>
      <c r="F31" s="191">
        <v>2.2129164542922259</v>
      </c>
      <c r="G31" s="36">
        <f t="shared" ref="G31:G32" si="15">IF(OR(0.01*(1/(D31+E31*(D$6^F31)))&lt;0.3,0.01*(1/(D31+E31*(D$6^F31)))&gt;1),"Out of Range",0.01*(1/(D31+E31*(D$6^F31))))</f>
        <v>0.97996414783314123</v>
      </c>
      <c r="H31" s="37">
        <f t="shared" ref="H31:H32" si="16">IF(G31="Out of Range","Out of Range",G31*C31)</f>
        <v>25.479067843661671</v>
      </c>
      <c r="J31" s="420" t="s">
        <v>46</v>
      </c>
      <c r="K31" s="142">
        <v>26</v>
      </c>
      <c r="L31" s="92">
        <v>32.22</v>
      </c>
      <c r="M31" s="90">
        <v>1.988</v>
      </c>
      <c r="N31" s="90">
        <v>1.5409999999999999</v>
      </c>
      <c r="O31" s="37">
        <f t="shared" si="13"/>
        <v>137.47961674201235</v>
      </c>
      <c r="Q31" s="405" t="s">
        <v>46</v>
      </c>
      <c r="R31" s="232">
        <v>26</v>
      </c>
      <c r="S31" s="130">
        <v>5.240570043135704E-2</v>
      </c>
      <c r="T31" s="126">
        <v>1.5343544747228524E-2</v>
      </c>
      <c r="U31" s="126">
        <v>5.5639251776161869E-4</v>
      </c>
      <c r="V31" s="126">
        <v>9.8425358797205528E-2</v>
      </c>
      <c r="W31" s="126">
        <v>4.6346432479242453E-4</v>
      </c>
      <c r="X31" s="218">
        <v>1.769510282565959</v>
      </c>
      <c r="Y31" s="221">
        <f>IF(T$6&gt;425,"out of range",IF($T$6="","",((S31+T31*$T$6+U31*$T$6^2)/(1+V31*$T$6+W31*$T$6^2))^X31))</f>
        <v>0.2428640015067926</v>
      </c>
      <c r="AA31" s="446"/>
      <c r="AB31" s="286">
        <v>40</v>
      </c>
      <c r="AC31" s="306">
        <v>5.4609999999999999E-4</v>
      </c>
      <c r="AD31" s="294">
        <v>-1.2279999999999999E-2</v>
      </c>
      <c r="AE31" s="294">
        <v>-1.429E-4</v>
      </c>
      <c r="AF31" s="294">
        <v>3.9240000000000004E-5</v>
      </c>
      <c r="AG31" s="295">
        <v>-1.7890000000000002E-6</v>
      </c>
      <c r="AH31" s="264">
        <f t="shared" si="7"/>
        <v>-5.6248318124999998E-3</v>
      </c>
      <c r="AI31" s="259">
        <f t="shared" si="8"/>
        <v>-0.146245627125</v>
      </c>
      <c r="AK31" s="388"/>
      <c r="AL31" s="340">
        <v>40</v>
      </c>
      <c r="AM31" s="335">
        <v>-3.9821436329514626E-3</v>
      </c>
      <c r="AN31" s="323">
        <v>2.4042440094226657E-4</v>
      </c>
      <c r="AO31" s="323">
        <v>-4.7107276105007858E-6</v>
      </c>
      <c r="AP31" s="323">
        <v>1.8160428294993887E-8</v>
      </c>
      <c r="AQ31" s="352">
        <v>-1.8079706285083538E-11</v>
      </c>
      <c r="AR31" s="354">
        <f t="shared" si="14"/>
        <v>-1.580687239497636E-3</v>
      </c>
      <c r="AS31" s="157">
        <f>IF(OR(AN$6&lt;-60,AN$6&gt;200),"out of range",IF($AN$6="","",AR31*40))</f>
        <v>-6.3227489579905441E-2</v>
      </c>
    </row>
    <row r="32" spans="2:45" ht="15.95" customHeight="1" thickBot="1" x14ac:dyDescent="0.3">
      <c r="B32" s="470"/>
      <c r="C32" s="102">
        <v>60</v>
      </c>
      <c r="D32" s="23">
        <v>0.01</v>
      </c>
      <c r="E32" s="19">
        <v>4.0643787278589246E-7</v>
      </c>
      <c r="F32" s="198">
        <v>2.1308343922747586</v>
      </c>
      <c r="G32" s="40">
        <f t="shared" si="15"/>
        <v>0.85505251761419854</v>
      </c>
      <c r="H32" s="41">
        <f t="shared" si="16"/>
        <v>51.30315105685191</v>
      </c>
      <c r="J32" s="421"/>
      <c r="K32" s="106">
        <v>60</v>
      </c>
      <c r="L32" s="99">
        <v>26.18</v>
      </c>
      <c r="M32" s="91">
        <v>1.988</v>
      </c>
      <c r="N32" s="91">
        <v>1.5409999999999999</v>
      </c>
      <c r="O32" s="41">
        <f t="shared" si="13"/>
        <v>111.7075222317158</v>
      </c>
      <c r="Q32" s="406"/>
      <c r="R32" s="233">
        <v>60</v>
      </c>
      <c r="S32" s="132">
        <v>3.6207601516223688E-2</v>
      </c>
      <c r="T32" s="127">
        <v>1.6742330155320794E-2</v>
      </c>
      <c r="U32" s="127">
        <v>5.9501913215408955E-4</v>
      </c>
      <c r="V32" s="127">
        <v>5.7179992440711348E-2</v>
      </c>
      <c r="W32" s="127">
        <v>5.1339569383054633E-4</v>
      </c>
      <c r="X32" s="227">
        <v>1.5988334978357182</v>
      </c>
      <c r="Y32" s="224">
        <f>IF(T$6&gt;170,"out of range",IF($T$6="","",((S32+T32*$T$6+U32*$T$6^2)/(1+V32*$T$6+W32*$T$6^2))^X32))</f>
        <v>0.48052463116477784</v>
      </c>
      <c r="AA32" s="446"/>
      <c r="AB32" s="286">
        <v>60</v>
      </c>
      <c r="AC32" s="306">
        <v>8.1910000000000001E-4</v>
      </c>
      <c r="AD32" s="294">
        <v>-1.8420000000000002E-2</v>
      </c>
      <c r="AE32" s="294">
        <v>-2.1440000000000001E-4</v>
      </c>
      <c r="AF32" s="294">
        <v>5.8859999999999995E-5</v>
      </c>
      <c r="AG32" s="295">
        <v>-2.683E-6</v>
      </c>
      <c r="AH32" s="264">
        <f t="shared" si="7"/>
        <v>-8.4373101875000016E-3</v>
      </c>
      <c r="AI32" s="259">
        <f t="shared" si="8"/>
        <v>-0.21937006487500005</v>
      </c>
      <c r="AK32" s="388"/>
      <c r="AL32" s="340">
        <v>60</v>
      </c>
      <c r="AM32" s="335">
        <v>-5.5899464275295119E-3</v>
      </c>
      <c r="AN32" s="323">
        <v>3.4947394012862544E-4</v>
      </c>
      <c r="AO32" s="323">
        <v>-6.8220565416552368E-6</v>
      </c>
      <c r="AP32" s="323">
        <v>2.7723834675758416E-8</v>
      </c>
      <c r="AQ32" s="352">
        <v>-3.1920203427455487E-11</v>
      </c>
      <c r="AR32" s="354">
        <f t="shared" si="14"/>
        <v>-1.9054127121881277E-3</v>
      </c>
      <c r="AS32" s="157">
        <f>IF(OR(AN$6&lt;-60,AN$6&gt;200),"out of range",IF($AN$6="","",AR32*60))</f>
        <v>-0.11432476273128767</v>
      </c>
    </row>
    <row r="33" spans="2:45" ht="15.95" customHeight="1" x14ac:dyDescent="0.25">
      <c r="B33" s="459" t="s">
        <v>8</v>
      </c>
      <c r="C33" s="34">
        <v>14</v>
      </c>
      <c r="D33" s="24">
        <v>0.01</v>
      </c>
      <c r="E33" s="17">
        <v>4.9382716049382717E-8</v>
      </c>
      <c r="F33" s="197">
        <v>2</v>
      </c>
      <c r="G33" s="42">
        <f t="shared" si="6"/>
        <v>0.98780487804878048</v>
      </c>
      <c r="H33" s="43">
        <f t="shared" si="4"/>
        <v>13.829268292682926</v>
      </c>
      <c r="J33" s="419" t="s">
        <v>8</v>
      </c>
      <c r="K33" s="107">
        <v>14</v>
      </c>
      <c r="L33" s="97">
        <v>80.55</v>
      </c>
      <c r="M33" s="96">
        <v>1.988</v>
      </c>
      <c r="N33" s="96">
        <v>1.5409999999999999</v>
      </c>
      <c r="O33" s="43">
        <f t="shared" si="13"/>
        <v>343.69904185503088</v>
      </c>
      <c r="Q33" s="404" t="s">
        <v>8</v>
      </c>
      <c r="R33" s="234">
        <v>14</v>
      </c>
      <c r="S33" s="128">
        <v>3.9178376622828227E-2</v>
      </c>
      <c r="T33" s="125">
        <v>1.8562950417526175E-2</v>
      </c>
      <c r="U33" s="125">
        <v>4.8116535036301825E-4</v>
      </c>
      <c r="V33" s="125">
        <v>0.13902108587368561</v>
      </c>
      <c r="W33" s="125">
        <v>4.4783502025996596E-4</v>
      </c>
      <c r="X33" s="226">
        <v>1.875438648940138</v>
      </c>
      <c r="Y33" s="225">
        <f>IF(T$6&gt;690,"out of range",IF($T$6="","",((S33+T33*$T$6+U33*$T$6^2)/(1+V33*$T$6+W33*$T$6^2))^X33))</f>
        <v>0.12986257196733578</v>
      </c>
      <c r="AA33" s="446"/>
      <c r="AB33" s="286">
        <v>75</v>
      </c>
      <c r="AC33" s="306">
        <v>1.024E-3</v>
      </c>
      <c r="AD33" s="294">
        <v>-2.3029999999999998E-2</v>
      </c>
      <c r="AE33" s="294">
        <v>-2.6800000000000001E-4</v>
      </c>
      <c r="AF33" s="294">
        <v>7.3579999999999997E-5</v>
      </c>
      <c r="AG33" s="295">
        <v>-3.3540000000000004E-6</v>
      </c>
      <c r="AH33" s="264">
        <f t="shared" si="7"/>
        <v>-1.0549012124999998E-2</v>
      </c>
      <c r="AI33" s="259">
        <f t="shared" si="8"/>
        <v>-0.27427431524999996</v>
      </c>
      <c r="AK33" s="388"/>
      <c r="AL33" s="340">
        <v>75</v>
      </c>
      <c r="AM33" s="335">
        <v>-6.7957985234630477E-3</v>
      </c>
      <c r="AN33" s="323">
        <v>4.3126109451839469E-4</v>
      </c>
      <c r="AO33" s="323">
        <v>-8.4055532400210761E-6</v>
      </c>
      <c r="AP33" s="323">
        <v>3.4896389461331815E-8</v>
      </c>
      <c r="AQ33" s="352">
        <v>-4.230057628423446E-11</v>
      </c>
      <c r="AR33" s="354">
        <f t="shared" si="14"/>
        <v>-2.1489568167059898E-3</v>
      </c>
      <c r="AS33" s="157">
        <f>IF(OR(AN$6&lt;-60,AN$6&gt;200),"out of range",IF($AN$6="","",AR33*75))</f>
        <v>-0.16117176125294924</v>
      </c>
    </row>
    <row r="34" spans="2:45" ht="15.95" customHeight="1" x14ac:dyDescent="0.25">
      <c r="B34" s="459"/>
      <c r="C34" s="32">
        <v>26</v>
      </c>
      <c r="D34" s="22">
        <v>0.01</v>
      </c>
      <c r="E34" s="16">
        <v>5.2662138758857603E-7</v>
      </c>
      <c r="F34" s="192">
        <v>1.8189496240181691</v>
      </c>
      <c r="G34" s="38">
        <f t="shared" si="6"/>
        <v>0.93910870507627497</v>
      </c>
      <c r="H34" s="39">
        <f t="shared" si="4"/>
        <v>24.416826331983149</v>
      </c>
      <c r="J34" s="420"/>
      <c r="K34" s="104">
        <v>26</v>
      </c>
      <c r="L34" s="93">
        <v>52.36</v>
      </c>
      <c r="M34" s="88">
        <v>1.988</v>
      </c>
      <c r="N34" s="88">
        <v>1.5409999999999999</v>
      </c>
      <c r="O34" s="39">
        <f t="shared" si="13"/>
        <v>223.4150444634316</v>
      </c>
      <c r="Q34" s="405"/>
      <c r="R34" s="235">
        <v>26</v>
      </c>
      <c r="S34" s="131">
        <v>3.7630720561057332E-2</v>
      </c>
      <c r="T34" s="122">
        <v>1.7115440392765063E-2</v>
      </c>
      <c r="U34" s="122">
        <v>5.1547136558824467E-4</v>
      </c>
      <c r="V34" s="122">
        <v>9.1898375356180992E-2</v>
      </c>
      <c r="W34" s="122">
        <v>4.9087793167899981E-4</v>
      </c>
      <c r="X34" s="219">
        <v>1.811869924748269</v>
      </c>
      <c r="Y34" s="222">
        <f>IF(T$6&gt;360,"out of range",IF($T$6="","",((S34+T34*$T$6+U34*$T$6^2)/(1+V34*$T$6+W34*$T$6^2))^X34))</f>
        <v>0.23155662821639914</v>
      </c>
      <c r="AA34" s="446"/>
      <c r="AB34" s="286">
        <v>90</v>
      </c>
      <c r="AC34" s="306">
        <v>1.2290000000000001E-3</v>
      </c>
      <c r="AD34" s="294">
        <v>-2.7631000000000003E-2</v>
      </c>
      <c r="AE34" s="294">
        <v>-3.2160000000000001E-4</v>
      </c>
      <c r="AF34" s="294">
        <v>8.8289999999999997E-5</v>
      </c>
      <c r="AG34" s="295">
        <v>-4.0250000000000004E-6</v>
      </c>
      <c r="AH34" s="264">
        <f t="shared" si="7"/>
        <v>-1.2656115312499999E-2</v>
      </c>
      <c r="AI34" s="259">
        <f t="shared" si="8"/>
        <v>-0.32905899812499995</v>
      </c>
      <c r="AK34" s="388"/>
      <c r="AL34" s="340">
        <v>90</v>
      </c>
      <c r="AM34" s="335">
        <v>-8.0016506193965834E-3</v>
      </c>
      <c r="AN34" s="323">
        <v>5.1304824890816383E-4</v>
      </c>
      <c r="AO34" s="323">
        <v>-9.989049938386912E-6</v>
      </c>
      <c r="AP34" s="323">
        <v>4.2068944246905207E-8</v>
      </c>
      <c r="AQ34" s="352">
        <v>-5.2680949141013419E-11</v>
      </c>
      <c r="AR34" s="354">
        <f t="shared" si="14"/>
        <v>-2.3925009212238568E-3</v>
      </c>
      <c r="AS34" s="157">
        <f>IF(OR(AN$6&lt;-60,AN$6&gt;200),"out of range",IF($AN$6="","",AR34*90))</f>
        <v>-0.21532508291014713</v>
      </c>
    </row>
    <row r="35" spans="2:45" ht="15.95" customHeight="1" thickBot="1" x14ac:dyDescent="0.3">
      <c r="B35" s="459"/>
      <c r="C35" s="32">
        <v>40</v>
      </c>
      <c r="D35" s="22">
        <v>0.01</v>
      </c>
      <c r="E35" s="16">
        <v>2.1772688446718944E-6</v>
      </c>
      <c r="F35" s="192">
        <v>1.7039155851053662</v>
      </c>
      <c r="G35" s="38">
        <f t="shared" si="6"/>
        <v>0.85402338465703542</v>
      </c>
      <c r="H35" s="39">
        <f t="shared" si="4"/>
        <v>34.160935386281416</v>
      </c>
      <c r="J35" s="420"/>
      <c r="K35" s="104">
        <v>40</v>
      </c>
      <c r="L35" s="93">
        <v>52.36</v>
      </c>
      <c r="M35" s="88">
        <v>1.988</v>
      </c>
      <c r="N35" s="88">
        <v>1.5409999999999999</v>
      </c>
      <c r="O35" s="39">
        <f t="shared" si="13"/>
        <v>223.4150444634316</v>
      </c>
      <c r="Q35" s="405"/>
      <c r="R35" s="235">
        <v>40</v>
      </c>
      <c r="S35" s="131">
        <v>3.7893561801643182E-2</v>
      </c>
      <c r="T35" s="122">
        <v>1.6324560227176373E-2</v>
      </c>
      <c r="U35" s="122">
        <v>5.3545250726087801E-4</v>
      </c>
      <c r="V35" s="122">
        <v>7.3654303952436218E-2</v>
      </c>
      <c r="W35" s="122">
        <v>5.1102681896614461E-4</v>
      </c>
      <c r="X35" s="219">
        <v>1.6651657724103655</v>
      </c>
      <c r="Y35" s="222">
        <f>IF(T$6&gt;230,"out of range",IF($T$6="","",((S35+T35*$T$6+U35*$T$6^2)/(1+V35*$T$6+W35*$T$6^2))^X35))</f>
        <v>0.32507787213860784</v>
      </c>
      <c r="AA35" s="447"/>
      <c r="AB35" s="287">
        <v>125</v>
      </c>
      <c r="AC35" s="307">
        <v>1.707E-3</v>
      </c>
      <c r="AD35" s="297">
        <v>-3.8376E-2</v>
      </c>
      <c r="AE35" s="297">
        <v>-4.4659999999999996E-4</v>
      </c>
      <c r="AF35" s="297">
        <v>1.226E-4</v>
      </c>
      <c r="AG35" s="298">
        <v>-5.5900000000000007E-6</v>
      </c>
      <c r="AH35" s="268">
        <f t="shared" si="7"/>
        <v>-1.7577674375000001E-2</v>
      </c>
      <c r="AI35" s="260">
        <f t="shared" si="8"/>
        <v>-0.45701953375000004</v>
      </c>
      <c r="AK35" s="388"/>
      <c r="AL35" s="341">
        <v>125</v>
      </c>
      <c r="AM35" s="336">
        <v>-1.0815305509908169E-2</v>
      </c>
      <c r="AN35" s="325">
        <v>7.0388494248429189E-4</v>
      </c>
      <c r="AO35" s="325">
        <v>-1.3683875567907201E-5</v>
      </c>
      <c r="AP35" s="325">
        <v>5.8804905413243131E-8</v>
      </c>
      <c r="AQ35" s="349">
        <v>-7.6901819140164343E-11</v>
      </c>
      <c r="AR35" s="355">
        <f t="shared" si="14"/>
        <v>-2.9607704984322162E-3</v>
      </c>
      <c r="AS35" s="332">
        <f>IF(OR(AN$6&lt;-60,AN$6&gt;200),"out of range",IF($AN$6="","",AR35*125))</f>
        <v>-0.37009631230402701</v>
      </c>
    </row>
    <row r="36" spans="2:45" ht="15.95" customHeight="1" x14ac:dyDescent="0.25">
      <c r="B36" s="459"/>
      <c r="C36" s="32">
        <v>60</v>
      </c>
      <c r="D36" s="22">
        <v>0.01</v>
      </c>
      <c r="E36" s="16">
        <v>2.1417191961868097E-6</v>
      </c>
      <c r="F36" s="192">
        <v>1.8552832463136577</v>
      </c>
      <c r="G36" s="38">
        <f t="shared" si="6"/>
        <v>0.76688782464875105</v>
      </c>
      <c r="H36" s="39">
        <f t="shared" si="4"/>
        <v>46.013269478925061</v>
      </c>
      <c r="J36" s="420"/>
      <c r="K36" s="104">
        <v>60</v>
      </c>
      <c r="L36" s="93">
        <v>44.3</v>
      </c>
      <c r="M36" s="88">
        <v>1.988</v>
      </c>
      <c r="N36" s="88">
        <v>1.5409999999999999</v>
      </c>
      <c r="O36" s="39">
        <f t="shared" si="13"/>
        <v>189.02380576260541</v>
      </c>
      <c r="Q36" s="405"/>
      <c r="R36" s="235">
        <v>60</v>
      </c>
      <c r="S36" s="131">
        <v>3.6008893932324829E-2</v>
      </c>
      <c r="T36" s="122">
        <v>1.7213111194094268E-2</v>
      </c>
      <c r="U36" s="122">
        <v>5.4006804400859125E-4</v>
      </c>
      <c r="V36" s="122">
        <v>5.6241052037198799E-2</v>
      </c>
      <c r="W36" s="122">
        <v>5.1564227402650978E-4</v>
      </c>
      <c r="X36" s="219">
        <v>1.5769776707572842</v>
      </c>
      <c r="Y36" s="222">
        <f>IF(T$6&gt;150,"out of range",IF($T$6="","",((S36+T36*$T$6+U36*$T$6^2)/(1+V36*$T$6+W36*$T$6^2))^X36))</f>
        <v>0.44123540398307776</v>
      </c>
      <c r="AA36" s="385" t="s">
        <v>41</v>
      </c>
      <c r="AB36" s="285">
        <v>19</v>
      </c>
      <c r="AC36" s="305">
        <v>4.4540000000000004E-4</v>
      </c>
      <c r="AD36" s="291">
        <v>-7.9109999999999996E-3</v>
      </c>
      <c r="AE36" s="291">
        <v>-3.405E-3</v>
      </c>
      <c r="AF36" s="291">
        <v>4.2900000000000002E-4</v>
      </c>
      <c r="AG36" s="292">
        <v>-1.7240000000000001E-5</v>
      </c>
      <c r="AH36" s="263">
        <f t="shared" si="7"/>
        <v>-4.3088025000000002E-3</v>
      </c>
      <c r="AI36" s="258">
        <f t="shared" si="8"/>
        <v>-0.11202886500000001</v>
      </c>
      <c r="AK36" s="391" t="s">
        <v>35</v>
      </c>
      <c r="AL36" s="339">
        <v>19</v>
      </c>
      <c r="AM36" s="334">
        <v>-8.1470000000000002E-4</v>
      </c>
      <c r="AN36" s="328">
        <v>4.3869999999999998E-5</v>
      </c>
      <c r="AO36" s="328">
        <v>-5.9110000000000005E-7</v>
      </c>
      <c r="AP36" s="328">
        <v>3.3670000000000001E-9</v>
      </c>
      <c r="AQ36" s="350">
        <v>-6.5730000000000004E-12</v>
      </c>
      <c r="AR36" s="353">
        <f t="shared" ref="AR36:AR45" si="17">IF(OR(AN$6&lt;-60,AN$6&gt;200),"out of range",IF($AN$6="","",AM36+AN36*$AN$6+AO36*$AN$6^2+AP36*$AN$6^3+AQ36*$AN$6^4))</f>
        <v>2.8084375000000006E-4</v>
      </c>
      <c r="AS36" s="156">
        <f t="shared" ref="AS36:AS45" si="18">IF(OR(AN$6&lt;-60,AN$6&gt;200),"out of range",IF($AN$6="","",AR36*125))</f>
        <v>3.5105468750000007E-2</v>
      </c>
    </row>
    <row r="37" spans="2:45" ht="15.95" customHeight="1" x14ac:dyDescent="0.25">
      <c r="B37" s="459"/>
      <c r="C37" s="32">
        <v>75</v>
      </c>
      <c r="D37" s="22">
        <v>0.01</v>
      </c>
      <c r="E37" s="16">
        <v>3.8847047797208461E-6</v>
      </c>
      <c r="F37" s="192">
        <v>1.8189496240181691</v>
      </c>
      <c r="G37" s="38">
        <f t="shared" si="6"/>
        <v>0.67645344326836354</v>
      </c>
      <c r="H37" s="39">
        <f t="shared" si="4"/>
        <v>50.734008245127264</v>
      </c>
      <c r="J37" s="420"/>
      <c r="K37" s="104">
        <v>75</v>
      </c>
      <c r="L37" s="93">
        <v>44.3</v>
      </c>
      <c r="M37" s="88">
        <v>1.988</v>
      </c>
      <c r="N37" s="88">
        <v>1.5409999999999999</v>
      </c>
      <c r="O37" s="39">
        <f t="shared" si="13"/>
        <v>189.02380576260541</v>
      </c>
      <c r="Q37" s="405"/>
      <c r="R37" s="235">
        <v>75</v>
      </c>
      <c r="S37" s="131">
        <v>3.1106018523636529E-2</v>
      </c>
      <c r="T37" s="122">
        <v>2.2858459844162893E-2</v>
      </c>
      <c r="U37" s="122">
        <v>5.3425288173283424E-4</v>
      </c>
      <c r="V37" s="122">
        <v>5.5681824227905651E-2</v>
      </c>
      <c r="W37" s="122">
        <v>4.9818444086265773E-4</v>
      </c>
      <c r="X37" s="219">
        <v>1.6142308629151121</v>
      </c>
      <c r="Y37" s="222">
        <f>IF(T$6&gt;110,"out of range",IF($T$6="","",((S37+T37*$T$6+U37*$T$6^2)/(1+V37*$T$6+W37*$T$6^2))^X37))</f>
        <v>0.50043087797139651</v>
      </c>
      <c r="AA37" s="386"/>
      <c r="AB37" s="286">
        <v>26</v>
      </c>
      <c r="AC37" s="306">
        <v>6.6519999999999991E-4</v>
      </c>
      <c r="AD37" s="294">
        <v>-1.222E-2</v>
      </c>
      <c r="AE37" s="294">
        <v>-2.6019999999999997E-3</v>
      </c>
      <c r="AF37" s="294">
        <v>3.4470000000000003E-4</v>
      </c>
      <c r="AG37" s="295">
        <v>-1.399E-5</v>
      </c>
      <c r="AH37" s="264">
        <f t="shared" si="7"/>
        <v>-6.0530868749999996E-3</v>
      </c>
      <c r="AI37" s="259">
        <f t="shared" si="8"/>
        <v>-0.15738025875</v>
      </c>
      <c r="AK37" s="392"/>
      <c r="AL37" s="340">
        <v>26</v>
      </c>
      <c r="AM37" s="335">
        <v>-1.9996644067796611E-3</v>
      </c>
      <c r="AN37" s="323">
        <v>8.8871525423728801E-5</v>
      </c>
      <c r="AO37" s="323">
        <v>-6.7917288135593223E-7</v>
      </c>
      <c r="AP37" s="323">
        <v>2.949016949152542E-9</v>
      </c>
      <c r="AQ37" s="352">
        <v>-4.8232203389830515E-12</v>
      </c>
      <c r="AR37" s="354">
        <f t="shared" si="17"/>
        <v>1.0844616525423718E-3</v>
      </c>
      <c r="AS37" s="157">
        <f t="shared" si="18"/>
        <v>0.13555770656779648</v>
      </c>
    </row>
    <row r="38" spans="2:45" ht="15.95" customHeight="1" x14ac:dyDescent="0.25">
      <c r="B38" s="459"/>
      <c r="C38" s="32">
        <v>90</v>
      </c>
      <c r="D38" s="22">
        <v>0.01</v>
      </c>
      <c r="E38" s="16">
        <v>5.829515369673348E-6</v>
      </c>
      <c r="F38" s="192">
        <v>1.8189496240181691</v>
      </c>
      <c r="G38" s="38">
        <f t="shared" si="6"/>
        <v>0.58215683465349533</v>
      </c>
      <c r="H38" s="39">
        <f t="shared" si="4"/>
        <v>52.394115118814582</v>
      </c>
      <c r="J38" s="420"/>
      <c r="K38" s="104">
        <v>90</v>
      </c>
      <c r="L38" s="93">
        <v>44.3</v>
      </c>
      <c r="M38" s="88">
        <v>1.988</v>
      </c>
      <c r="N38" s="88">
        <v>1.5409999999999999</v>
      </c>
      <c r="O38" s="39">
        <f t="shared" si="13"/>
        <v>189.02380576260541</v>
      </c>
      <c r="Q38" s="405"/>
      <c r="R38" s="235">
        <v>90</v>
      </c>
      <c r="S38" s="131">
        <v>2.9645278336541896E-2</v>
      </c>
      <c r="T38" s="122">
        <v>2.5384540362516236E-2</v>
      </c>
      <c r="U38" s="122">
        <v>5.1417585994713798E-4</v>
      </c>
      <c r="V38" s="122">
        <v>5.3051236208114756E-2</v>
      </c>
      <c r="W38" s="122">
        <v>4.8671358561735761E-4</v>
      </c>
      <c r="X38" s="219">
        <v>1.5782963687745584</v>
      </c>
      <c r="Y38" s="222">
        <f>IF(T$6&gt;100,"out of range",IF($T$6="","",((S38+T38*$T$6+U38*$T$6^2)/(1+V38*$T$6+W38*$T$6^2))^X38))</f>
        <v>0.54255616909561299</v>
      </c>
      <c r="AA38" s="386"/>
      <c r="AB38" s="286">
        <v>40</v>
      </c>
      <c r="AC38" s="306">
        <v>1.4189999999999999E-3</v>
      </c>
      <c r="AD38" s="294">
        <v>-2.699E-2</v>
      </c>
      <c r="AE38" s="294">
        <v>1.5139999999999999E-4</v>
      </c>
      <c r="AF38" s="294">
        <v>5.5630000000000001E-5</v>
      </c>
      <c r="AG38" s="295">
        <v>-2.8439999999999998E-6</v>
      </c>
      <c r="AH38" s="264">
        <f t="shared" si="7"/>
        <v>-1.2031373999999999E-2</v>
      </c>
      <c r="AI38" s="259">
        <f t="shared" si="8"/>
        <v>-0.31281572399999996</v>
      </c>
      <c r="AK38" s="392"/>
      <c r="AL38" s="340">
        <v>40</v>
      </c>
      <c r="AM38" s="335">
        <v>-3.7230000000000002E-3</v>
      </c>
      <c r="AN38" s="323">
        <v>1.5779999999999999E-4</v>
      </c>
      <c r="AO38" s="323">
        <v>-9.5010000000000002E-7</v>
      </c>
      <c r="AP38" s="323">
        <v>3.325E-9</v>
      </c>
      <c r="AQ38" s="352">
        <v>-4.3720000000000004E-12</v>
      </c>
      <c r="AR38" s="354">
        <f t="shared" si="17"/>
        <v>2.1800499999999985E-3</v>
      </c>
      <c r="AS38" s="157">
        <f t="shared" si="18"/>
        <v>0.27250624999999978</v>
      </c>
    </row>
    <row r="39" spans="2:45" ht="15.95" customHeight="1" thickBot="1" x14ac:dyDescent="0.3">
      <c r="B39" s="460"/>
      <c r="C39" s="33">
        <v>125</v>
      </c>
      <c r="D39" s="23">
        <v>0.01</v>
      </c>
      <c r="E39" s="19">
        <v>2.2087355769163584E-5</v>
      </c>
      <c r="F39" s="198">
        <v>1.6361357982025031</v>
      </c>
      <c r="G39" s="40">
        <f t="shared" si="6"/>
        <v>0.42916326615249295</v>
      </c>
      <c r="H39" s="41">
        <f t="shared" si="4"/>
        <v>53.645408269061619</v>
      </c>
      <c r="J39" s="421"/>
      <c r="K39" s="106">
        <v>125</v>
      </c>
      <c r="L39" s="99">
        <v>44.3</v>
      </c>
      <c r="M39" s="91">
        <v>1.988</v>
      </c>
      <c r="N39" s="91">
        <v>1.5409999999999999</v>
      </c>
      <c r="O39" s="41">
        <f t="shared" si="13"/>
        <v>189.02380576260541</v>
      </c>
      <c r="Q39" s="406"/>
      <c r="R39" s="233">
        <v>125</v>
      </c>
      <c r="S39" s="132">
        <v>2.7299125424041903E-2</v>
      </c>
      <c r="T39" s="127">
        <v>2.9460632934323321E-2</v>
      </c>
      <c r="U39" s="127">
        <v>5.0384402460107729E-4</v>
      </c>
      <c r="V39" s="127">
        <v>5.2735923311222163E-2</v>
      </c>
      <c r="W39" s="127">
        <v>4.6386774689317873E-4</v>
      </c>
      <c r="X39" s="227">
        <v>1.4707909110105195</v>
      </c>
      <c r="Y39" s="224" t="str">
        <f>IF(T$6&gt;70,"out of range",IF($T$6="","",((S39+T39*$T$6+U39*$T$6^2)/(1+V39*$T$6+W39*$T$6^2))^X39))</f>
        <v>out of range</v>
      </c>
      <c r="AA39" s="386"/>
      <c r="AB39" s="286">
        <v>60</v>
      </c>
      <c r="AC39" s="306">
        <v>1.4189999999999999E-3</v>
      </c>
      <c r="AD39" s="294">
        <v>-2.699E-2</v>
      </c>
      <c r="AE39" s="294">
        <v>1.5139999999999999E-4</v>
      </c>
      <c r="AF39" s="294">
        <v>5.5630000000000001E-5</v>
      </c>
      <c r="AG39" s="295">
        <v>-2.8439999999999998E-6</v>
      </c>
      <c r="AH39" s="264">
        <f t="shared" si="7"/>
        <v>-1.2031373999999999E-2</v>
      </c>
      <c r="AI39" s="259">
        <f t="shared" si="8"/>
        <v>-0.31281572399999996</v>
      </c>
      <c r="AK39" s="392"/>
      <c r="AL39" s="340">
        <v>60</v>
      </c>
      <c r="AM39" s="335">
        <v>-5.5845000000000001E-3</v>
      </c>
      <c r="AN39" s="323">
        <v>2.3669999999999998E-4</v>
      </c>
      <c r="AO39" s="323">
        <v>-1.42515E-6</v>
      </c>
      <c r="AP39" s="323">
        <v>4.9875E-9</v>
      </c>
      <c r="AQ39" s="352">
        <v>-6.5580000000000001E-12</v>
      </c>
      <c r="AR39" s="354">
        <f t="shared" si="17"/>
        <v>3.2700749999999982E-3</v>
      </c>
      <c r="AS39" s="157">
        <f t="shared" si="18"/>
        <v>0.40875937499999976</v>
      </c>
    </row>
    <row r="40" spans="2:45" ht="15.95" customHeight="1" x14ac:dyDescent="0.25">
      <c r="B40" s="458" t="s">
        <v>35</v>
      </c>
      <c r="C40" s="34">
        <v>19</v>
      </c>
      <c r="D40" s="26">
        <v>0.01</v>
      </c>
      <c r="E40" s="17">
        <v>4.9757335479739241E-9</v>
      </c>
      <c r="F40" s="197">
        <v>2.2355185903791068</v>
      </c>
      <c r="G40" s="42">
        <f t="shared" ref="G40" si="19">IF(OR(0.01*(1/(D40+E40*(D$6^F40)))&lt;0.3,0.01*(1/(D40+E40*(D$6^F40)))&gt;1),"Out of Range",0.01*(1/(D40+E40*(D$6^F40))))</f>
        <v>0.99688411929054255</v>
      </c>
      <c r="H40" s="43">
        <f t="shared" ref="H40" si="20">IF(G40="Out of Range","Out of Range",G40*C40)</f>
        <v>18.940798266520307</v>
      </c>
      <c r="J40" s="425" t="s">
        <v>35</v>
      </c>
      <c r="K40" s="107">
        <v>19</v>
      </c>
      <c r="L40" s="97">
        <v>509.27060369339534</v>
      </c>
      <c r="M40" s="96">
        <v>2.0150000000000001</v>
      </c>
      <c r="N40" s="96">
        <v>1.194</v>
      </c>
      <c r="O40" s="43">
        <f t="shared" si="13"/>
        <v>525.43475217311777</v>
      </c>
      <c r="Q40" s="404" t="s">
        <v>35</v>
      </c>
      <c r="R40" s="232">
        <v>19</v>
      </c>
      <c r="S40" s="143">
        <v>3.9863085237884142E-2</v>
      </c>
      <c r="T40" s="133">
        <v>2.1638788638297029E-2</v>
      </c>
      <c r="U40" s="133">
        <v>5.3108435906838139E-4</v>
      </c>
      <c r="V40" s="133">
        <v>0.15040887274616843</v>
      </c>
      <c r="W40" s="133">
        <v>3.3437014396157661E-4</v>
      </c>
      <c r="X40" s="218">
        <v>1.7830175709657636</v>
      </c>
      <c r="Y40" s="221">
        <f>IF(T$6&gt;965,"out of range",IF($T$6="","",((S40+T40*$T$6+U40*$T$6^2)/(1+V40*$T$6+W40*$T$6^2))^X40))</f>
        <v>0.17504576009695055</v>
      </c>
      <c r="AA40" s="386"/>
      <c r="AB40" s="286">
        <v>75</v>
      </c>
      <c r="AC40" s="306">
        <v>2.4399999999999999E-3</v>
      </c>
      <c r="AD40" s="294">
        <v>-4.6989999999999997E-2</v>
      </c>
      <c r="AE40" s="294">
        <v>3.8800000000000002E-3</v>
      </c>
      <c r="AF40" s="294">
        <v>-3.3579999999999998E-4</v>
      </c>
      <c r="AG40" s="295">
        <v>1.225E-5</v>
      </c>
      <c r="AH40" s="264">
        <f t="shared" si="7"/>
        <v>-2.0126209374999999E-2</v>
      </c>
      <c r="AI40" s="259">
        <f t="shared" si="8"/>
        <v>-0.52328144374999996</v>
      </c>
      <c r="AK40" s="392"/>
      <c r="AL40" s="340">
        <v>75</v>
      </c>
      <c r="AM40" s="335">
        <v>-6.9806250000000007E-3</v>
      </c>
      <c r="AN40" s="323">
        <v>2.9587499999999997E-4</v>
      </c>
      <c r="AO40" s="323">
        <v>-1.7814374999999999E-6</v>
      </c>
      <c r="AP40" s="323">
        <v>6.2343750000000002E-9</v>
      </c>
      <c r="AQ40" s="352">
        <v>-8.197500000000001E-12</v>
      </c>
      <c r="AR40" s="354">
        <f t="shared" si="17"/>
        <v>4.0875937499999975E-3</v>
      </c>
      <c r="AS40" s="157">
        <f t="shared" si="18"/>
        <v>0.51094921874999966</v>
      </c>
    </row>
    <row r="41" spans="2:45" ht="15.95" customHeight="1" x14ac:dyDescent="0.25">
      <c r="B41" s="459"/>
      <c r="C41" s="34">
        <v>26</v>
      </c>
      <c r="D41" s="26">
        <v>0.01</v>
      </c>
      <c r="E41" s="17">
        <v>6.3041988282043511E-10</v>
      </c>
      <c r="F41" s="197">
        <v>2.7138308977134478</v>
      </c>
      <c r="G41" s="42">
        <f t="shared" si="6"/>
        <v>0.99743414903614391</v>
      </c>
      <c r="H41" s="43">
        <f t="shared" si="4"/>
        <v>25.93328787493974</v>
      </c>
      <c r="J41" s="426"/>
      <c r="K41" s="104">
        <v>26</v>
      </c>
      <c r="L41" s="93">
        <v>581.54197253279892</v>
      </c>
      <c r="M41" s="88">
        <v>2.0150000000000001</v>
      </c>
      <c r="N41" s="88">
        <v>1.194</v>
      </c>
      <c r="O41" s="39">
        <f t="shared" si="13"/>
        <v>600.00000000000011</v>
      </c>
      <c r="Q41" s="405"/>
      <c r="R41" s="235">
        <v>26</v>
      </c>
      <c r="S41" s="144">
        <v>4.042248005580406E-2</v>
      </c>
      <c r="T41" s="123">
        <v>2.041996305448961E-2</v>
      </c>
      <c r="U41" s="123">
        <v>5.9619509109814952E-4</v>
      </c>
      <c r="V41" s="123">
        <v>0.11636387583094591</v>
      </c>
      <c r="W41" s="123">
        <v>3.9336936818099336E-4</v>
      </c>
      <c r="X41" s="219">
        <v>1.8719993418568326</v>
      </c>
      <c r="Y41" s="222">
        <f>IF(T$6&gt;615,"out of range",IF($T$6="","",((S41+T41*$T$6+U41*$T$6^2)/(1+V41*$T$6+W41*$T$6^2))^X41))</f>
        <v>0.244978597967351</v>
      </c>
      <c r="AA41" s="386"/>
      <c r="AB41" s="286">
        <v>90</v>
      </c>
      <c r="AC41" s="306">
        <v>2.4399999999999999E-3</v>
      </c>
      <c r="AD41" s="294">
        <v>-4.6989999999999997E-2</v>
      </c>
      <c r="AE41" s="294">
        <v>3.8800000000000002E-3</v>
      </c>
      <c r="AF41" s="294">
        <v>-3.3579999999999998E-4</v>
      </c>
      <c r="AG41" s="295">
        <v>1.225E-5</v>
      </c>
      <c r="AH41" s="264">
        <f t="shared" si="7"/>
        <v>-2.0126209374999999E-2</v>
      </c>
      <c r="AI41" s="259">
        <f t="shared" si="8"/>
        <v>-0.52328144374999996</v>
      </c>
      <c r="AK41" s="392"/>
      <c r="AL41" s="340">
        <v>90</v>
      </c>
      <c r="AM41" s="335">
        <v>-8.3767500000000005E-3</v>
      </c>
      <c r="AN41" s="323">
        <v>3.5504999999999993E-4</v>
      </c>
      <c r="AO41" s="323">
        <v>-2.1377249999999999E-6</v>
      </c>
      <c r="AP41" s="323">
        <v>7.4812499999999996E-9</v>
      </c>
      <c r="AQ41" s="352">
        <v>-9.8370000000000002E-12</v>
      </c>
      <c r="AR41" s="354">
        <f t="shared" si="17"/>
        <v>4.9051124999999968E-3</v>
      </c>
      <c r="AS41" s="157">
        <f t="shared" si="18"/>
        <v>0.61313906249999961</v>
      </c>
    </row>
    <row r="42" spans="2:45" ht="15.95" customHeight="1" thickBot="1" x14ac:dyDescent="0.3">
      <c r="B42" s="459"/>
      <c r="C42" s="32">
        <v>40</v>
      </c>
      <c r="D42" s="22">
        <v>0.01</v>
      </c>
      <c r="E42" s="16">
        <v>1.8434466820745532E-8</v>
      </c>
      <c r="F42" s="192">
        <v>2.3584991696787521</v>
      </c>
      <c r="G42" s="38">
        <f t="shared" ref="G42:G43" si="21">IF(OR(0.01*(1/(D42+E42*(D$6^F42)))&lt;0.3,0.01*(1/(D42+E42*(D$6^F42)))&gt;1),"Out of Range",0.01*(1/(D42+E42*(D$6^F42))))</f>
        <v>0.98160970195442643</v>
      </c>
      <c r="H42" s="39">
        <f t="shared" ref="H42:H43" si="22">IF(G42="Out of Range","Out of Range",G42*C42)</f>
        <v>39.264388078177056</v>
      </c>
      <c r="J42" s="426"/>
      <c r="K42" s="104">
        <v>40</v>
      </c>
      <c r="L42" s="93">
        <v>581.54</v>
      </c>
      <c r="M42" s="88">
        <v>2.0150000000000001</v>
      </c>
      <c r="N42" s="88">
        <v>1.194</v>
      </c>
      <c r="O42" s="39">
        <f t="shared" si="13"/>
        <v>599.9979648593993</v>
      </c>
      <c r="Q42" s="405"/>
      <c r="R42" s="235">
        <v>40</v>
      </c>
      <c r="S42" s="144">
        <v>5.1193865411788865E-2</v>
      </c>
      <c r="T42" s="123">
        <v>1.6023444993605918E-2</v>
      </c>
      <c r="U42" s="123">
        <v>6.639636080529171E-4</v>
      </c>
      <c r="V42" s="123">
        <v>9.0337919939518924E-2</v>
      </c>
      <c r="W42" s="123">
        <v>4.4051542989429816E-4</v>
      </c>
      <c r="X42" s="219">
        <v>1.6786564548586731</v>
      </c>
      <c r="Y42" s="222">
        <f>IF(T$6&gt;390,"out of range",IF($T$6="","",((S42+T42*$T$6+U42*$T$6^2)/(1+V42*$T$6+W42*$T$6^2))^X42))</f>
        <v>0.37560447421428111</v>
      </c>
      <c r="AA42" s="387"/>
      <c r="AB42" s="287">
        <v>125</v>
      </c>
      <c r="AC42" s="307">
        <v>3.7750000000000001E-3</v>
      </c>
      <c r="AD42" s="297">
        <v>-7.3150000000000007E-2</v>
      </c>
      <c r="AE42" s="297">
        <v>8.7549999999999989E-3</v>
      </c>
      <c r="AF42" s="297">
        <v>-8.4769999999999995E-4</v>
      </c>
      <c r="AG42" s="298">
        <v>3.1989999999999997E-5</v>
      </c>
      <c r="AH42" s="268">
        <f t="shared" si="7"/>
        <v>-3.0715213125000005E-2</v>
      </c>
      <c r="AI42" s="260">
        <f t="shared" si="8"/>
        <v>-0.7985955412500001</v>
      </c>
      <c r="AK42" s="393"/>
      <c r="AL42" s="342">
        <v>125</v>
      </c>
      <c r="AM42" s="337">
        <v>-1.1634375000000002E-2</v>
      </c>
      <c r="AN42" s="330">
        <v>4.9312499999999986E-4</v>
      </c>
      <c r="AO42" s="330">
        <v>-2.9690625E-6</v>
      </c>
      <c r="AP42" s="330">
        <v>1.0390625E-8</v>
      </c>
      <c r="AQ42" s="351">
        <v>-1.3662500000000002E-11</v>
      </c>
      <c r="AR42" s="356">
        <f t="shared" si="17"/>
        <v>6.8126562499999915E-3</v>
      </c>
      <c r="AS42" s="158">
        <f t="shared" si="18"/>
        <v>0.85158203124999898</v>
      </c>
    </row>
    <row r="43" spans="2:45" ht="15.95" customHeight="1" x14ac:dyDescent="0.25">
      <c r="B43" s="459"/>
      <c r="C43" s="35">
        <v>60</v>
      </c>
      <c r="D43" s="27">
        <v>0.01</v>
      </c>
      <c r="E43" s="20">
        <v>1.4887928186541102E-8</v>
      </c>
      <c r="F43" s="193">
        <v>2.6125528717042759</v>
      </c>
      <c r="G43" s="44">
        <f t="shared" si="21"/>
        <v>0.96072794282267771</v>
      </c>
      <c r="H43" s="45">
        <f t="shared" si="22"/>
        <v>57.643676569360665</v>
      </c>
      <c r="J43" s="426"/>
      <c r="K43" s="104">
        <v>60</v>
      </c>
      <c r="L43" s="93">
        <v>542.77250769727891</v>
      </c>
      <c r="M43" s="88">
        <v>2.0150000000000001</v>
      </c>
      <c r="N43" s="88">
        <v>1.194</v>
      </c>
      <c r="O43" s="39">
        <f t="shared" si="13"/>
        <v>560</v>
      </c>
      <c r="Q43" s="405"/>
      <c r="R43" s="235">
        <v>60</v>
      </c>
      <c r="S43" s="144">
        <v>3.8799406654010979E-2</v>
      </c>
      <c r="T43" s="123">
        <v>1.6480058455710895E-2</v>
      </c>
      <c r="U43" s="123">
        <v>6.9820197229084459E-4</v>
      </c>
      <c r="V43" s="123">
        <v>6.6106225476465885E-2</v>
      </c>
      <c r="W43" s="123">
        <v>4.7047918335963357E-4</v>
      </c>
      <c r="X43" s="219">
        <v>1.6227724973222166</v>
      </c>
      <c r="Y43" s="222">
        <f>IF(T$6&gt;235,"out of range",IF($T$6="","",((S43+T43*$T$6+U43*$T$6^2)/(1+V43*$T$6+W43*$T$6^2))^X43))</f>
        <v>0.54234779428830848</v>
      </c>
      <c r="AA43" s="382" t="s">
        <v>23</v>
      </c>
      <c r="AB43" s="285">
        <v>14</v>
      </c>
      <c r="AC43" s="305">
        <v>8.4646213023949733E-5</v>
      </c>
      <c r="AD43" s="291">
        <v>-1.9035322230510981E-3</v>
      </c>
      <c r="AE43" s="291">
        <v>-2.2156205679813001E-5</v>
      </c>
      <c r="AF43" s="291">
        <v>6.082622510791945E-6</v>
      </c>
      <c r="AG43" s="292">
        <v>-2.7726259253236139E-7</v>
      </c>
      <c r="AH43" s="263">
        <f t="shared" si="7"/>
        <v>-8.7191595101973683E-4</v>
      </c>
      <c r="AI43" s="258">
        <f t="shared" si="8"/>
        <v>-2.2669814726513159E-2</v>
      </c>
      <c r="AK43" s="392" t="s">
        <v>23</v>
      </c>
      <c r="AL43" s="343">
        <v>14</v>
      </c>
      <c r="AM43" s="338">
        <v>-5.8839730468749989E-4</v>
      </c>
      <c r="AN43" s="327">
        <v>4.3843333333333334E-5</v>
      </c>
      <c r="AO43" s="327">
        <v>-8.8036666666666667E-7</v>
      </c>
      <c r="AP43" s="327">
        <v>2.7346666666666667E-9</v>
      </c>
      <c r="AQ43" s="348">
        <v>-4.7623333333333332E-13</v>
      </c>
      <c r="AR43" s="357">
        <f t="shared" si="17"/>
        <v>-2.582904296874995E-4</v>
      </c>
      <c r="AS43" s="333">
        <f t="shared" si="18"/>
        <v>-3.2286303710937436E-2</v>
      </c>
    </row>
    <row r="44" spans="2:45" ht="15.95" customHeight="1" x14ac:dyDescent="0.25">
      <c r="B44" s="459"/>
      <c r="C44" s="32">
        <v>75</v>
      </c>
      <c r="D44" s="22">
        <v>0.01</v>
      </c>
      <c r="E44" s="16">
        <v>2.2692938993693701E-8</v>
      </c>
      <c r="F44" s="192">
        <v>2.6494013932779432</v>
      </c>
      <c r="G44" s="38">
        <f t="shared" si="6"/>
        <v>0.93286297414531438</v>
      </c>
      <c r="H44" s="39">
        <f t="shared" si="4"/>
        <v>69.964723060898578</v>
      </c>
      <c r="J44" s="426"/>
      <c r="K44" s="104">
        <v>75</v>
      </c>
      <c r="L44" s="93">
        <v>542.77250769727891</v>
      </c>
      <c r="M44" s="88">
        <v>2.0150000000000001</v>
      </c>
      <c r="N44" s="88">
        <v>1.194</v>
      </c>
      <c r="O44" s="39">
        <f t="shared" si="13"/>
        <v>560</v>
      </c>
      <c r="Q44" s="405"/>
      <c r="R44" s="235">
        <v>75</v>
      </c>
      <c r="S44" s="144">
        <v>4.1424534022643802E-2</v>
      </c>
      <c r="T44" s="123">
        <v>1.4141920901550586E-2</v>
      </c>
      <c r="U44" s="123">
        <v>7.1189470345212329E-4</v>
      </c>
      <c r="V44" s="123">
        <v>5.5835836047438081E-2</v>
      </c>
      <c r="W44" s="123">
        <v>4.6484636067884946E-4</v>
      </c>
      <c r="X44" s="219">
        <v>1.460697299288455</v>
      </c>
      <c r="Y44" s="222">
        <f>IF(T$6&gt;190,"out of range",IF($T$6="","",((S44+T44*$T$6+U44*$T$6^2)/(1+V44*$T$6+W44*$T$6^2))^X44))</f>
        <v>0.64900242788708418</v>
      </c>
      <c r="AA44" s="383"/>
      <c r="AB44" s="286">
        <v>19</v>
      </c>
      <c r="AC44" s="306">
        <v>1.1487700338964606E-4</v>
      </c>
      <c r="AD44" s="294">
        <v>-2.5833651598550617E-3</v>
      </c>
      <c r="AE44" s="294">
        <v>-3.0069136279746216E-5</v>
      </c>
      <c r="AF44" s="294">
        <v>8.2549876932176399E-6</v>
      </c>
      <c r="AG44" s="295">
        <v>-3.7628494700820476E-7</v>
      </c>
      <c r="AH44" s="264">
        <f t="shared" si="7"/>
        <v>-1.183314504955357E-3</v>
      </c>
      <c r="AI44" s="259">
        <f t="shared" si="8"/>
        <v>-3.0766177128839282E-2</v>
      </c>
      <c r="AK44" s="392"/>
      <c r="AL44" s="340">
        <v>19</v>
      </c>
      <c r="AM44" s="335">
        <v>-7.9853919921874981E-4</v>
      </c>
      <c r="AN44" s="323">
        <v>5.950166666666666E-5</v>
      </c>
      <c r="AO44" s="323">
        <v>-1.1947833333333335E-6</v>
      </c>
      <c r="AP44" s="323">
        <v>3.7113333333333335E-9</v>
      </c>
      <c r="AQ44" s="352">
        <v>-6.4631666666666668E-13</v>
      </c>
      <c r="AR44" s="354">
        <f t="shared" si="17"/>
        <v>-3.5053701171875064E-4</v>
      </c>
      <c r="AS44" s="157">
        <f t="shared" si="18"/>
        <v>-4.3817126464843828E-2</v>
      </c>
    </row>
    <row r="45" spans="2:45" ht="15.95" customHeight="1" x14ac:dyDescent="0.25">
      <c r="B45" s="459"/>
      <c r="C45" s="35">
        <v>90</v>
      </c>
      <c r="D45" s="25">
        <v>0.01</v>
      </c>
      <c r="E45" s="20">
        <v>9.8414440975217902E-8</v>
      </c>
      <c r="F45" s="193">
        <v>2.4772252516933335</v>
      </c>
      <c r="G45" s="38">
        <f t="shared" ref="G45" si="23">IF(OR(0.01*(1/(D45+E45*(D$6^F45)))&lt;0.3,0.01*(1/(D45+E45*(D$6^F45)))&gt;1),"Out of Range",0.01*(1/(D45+E45*(D$6^F45))))</f>
        <v>0.86270559450079087</v>
      </c>
      <c r="H45" s="39">
        <f t="shared" ref="H45" si="24">IF(G45="Out of Range","Out of Range",G45*C45)</f>
        <v>77.64350350507118</v>
      </c>
      <c r="J45" s="426"/>
      <c r="K45" s="108">
        <v>90</v>
      </c>
      <c r="L45" s="94">
        <v>542.77250769727891</v>
      </c>
      <c r="M45" s="95">
        <v>2.0150000000000001</v>
      </c>
      <c r="N45" s="95">
        <v>1.194</v>
      </c>
      <c r="O45" s="45">
        <f t="shared" ref="O45" si="25">IF(OR($K$6=0,$N$6=0),"",L45*$K$6^M45*$N$6^N45)</f>
        <v>560</v>
      </c>
      <c r="Q45" s="405"/>
      <c r="R45" s="235">
        <v>90</v>
      </c>
      <c r="S45" s="144">
        <v>3.6211771758990645E-2</v>
      </c>
      <c r="T45" s="123">
        <v>1.9867301384581617E-2</v>
      </c>
      <c r="U45" s="123">
        <v>6.6748907309935942E-4</v>
      </c>
      <c r="V45" s="123">
        <v>4.9206113106140349E-2</v>
      </c>
      <c r="W45" s="123">
        <v>4.6568865593631662E-4</v>
      </c>
      <c r="X45" s="219">
        <v>1.5424452526310231</v>
      </c>
      <c r="Y45" s="222">
        <f>IF(T$6&gt;150,"out of range",IF($T$6="","",((S45+T45*$T$6+U45*$T$6^2)/(1+V45*$T$6+W45*$T$6^2))^X45))</f>
        <v>0.71513734494002601</v>
      </c>
      <c r="AA45" s="383"/>
      <c r="AB45" s="286">
        <v>26</v>
      </c>
      <c r="AC45" s="306">
        <v>1.5720010990162095E-4</v>
      </c>
      <c r="AD45" s="294">
        <v>-3.5351312713806111E-3</v>
      </c>
      <c r="AE45" s="294">
        <v>-4.1147239119652712E-5</v>
      </c>
      <c r="AF45" s="294">
        <v>1.1296298948613612E-5</v>
      </c>
      <c r="AG45" s="295">
        <v>-5.149162432743854E-7</v>
      </c>
      <c r="AH45" s="264">
        <f t="shared" si="7"/>
        <v>-1.6192724804652259E-3</v>
      </c>
      <c r="AI45" s="259">
        <f t="shared" si="8"/>
        <v>-4.2101084492095875E-2</v>
      </c>
      <c r="AK45" s="392"/>
      <c r="AL45" s="340">
        <v>26</v>
      </c>
      <c r="AM45" s="335">
        <v>-1.0927378515624999E-3</v>
      </c>
      <c r="AN45" s="323">
        <v>8.142333333333333E-5</v>
      </c>
      <c r="AO45" s="323">
        <v>-1.6349666666666668E-6</v>
      </c>
      <c r="AP45" s="323">
        <v>5.0786666666666669E-9</v>
      </c>
      <c r="AQ45" s="352">
        <v>-8.8443333333333324E-13</v>
      </c>
      <c r="AR45" s="354">
        <f t="shared" si="17"/>
        <v>-4.7968222656250069E-4</v>
      </c>
      <c r="AS45" s="157">
        <f t="shared" si="18"/>
        <v>-5.9960278320312588E-2</v>
      </c>
    </row>
    <row r="46" spans="2:45" ht="15.95" customHeight="1" thickBot="1" x14ac:dyDescent="0.3">
      <c r="B46" s="460"/>
      <c r="C46" s="35">
        <v>125</v>
      </c>
      <c r="D46" s="27">
        <v>0.01</v>
      </c>
      <c r="E46" s="20">
        <v>2.6870549229305739E-7</v>
      </c>
      <c r="F46" s="193">
        <v>2.4772252516933335</v>
      </c>
      <c r="G46" s="44">
        <f t="shared" si="6"/>
        <v>0.69709817703920751</v>
      </c>
      <c r="H46" s="45">
        <f t="shared" si="4"/>
        <v>87.137272129900936</v>
      </c>
      <c r="I46" s="4"/>
      <c r="J46" s="427"/>
      <c r="K46" s="108">
        <v>125</v>
      </c>
      <c r="L46" s="94">
        <v>542.77250769727891</v>
      </c>
      <c r="M46" s="95">
        <v>2.0150000000000001</v>
      </c>
      <c r="N46" s="95">
        <v>1.194</v>
      </c>
      <c r="O46" s="45">
        <f t="shared" si="13"/>
        <v>560</v>
      </c>
      <c r="Q46" s="406"/>
      <c r="R46" s="233">
        <v>125</v>
      </c>
      <c r="S46" s="145">
        <v>3.8139936201421407E-2</v>
      </c>
      <c r="T46" s="134">
        <v>1.7287642009696173E-2</v>
      </c>
      <c r="U46" s="134">
        <v>6.2774140532878781E-4</v>
      </c>
      <c r="V46" s="134">
        <v>3.3631471810132159E-2</v>
      </c>
      <c r="W46" s="134">
        <v>4.6494977894339897E-4</v>
      </c>
      <c r="X46" s="227">
        <v>1.3067124000265149</v>
      </c>
      <c r="Y46" s="224">
        <f>IF(T$6&gt;100,"out of range",IF($T$6="","",((S46+T46*$T$6+U46*$T$6^2)/(1+V46*$T$6+W46*$T$6^2))^X46))</f>
        <v>0.84042069675615483</v>
      </c>
      <c r="AA46" s="383"/>
      <c r="AB46" s="286">
        <v>40</v>
      </c>
      <c r="AC46" s="306">
        <v>2.4184632292557071E-4</v>
      </c>
      <c r="AD46" s="294">
        <v>-5.4386634944317089E-3</v>
      </c>
      <c r="AE46" s="294">
        <v>-6.3303444799465706E-5</v>
      </c>
      <c r="AF46" s="294">
        <v>1.7378921459405559E-5</v>
      </c>
      <c r="AG46" s="295">
        <v>-7.9217883580674679E-7</v>
      </c>
      <c r="AH46" s="264">
        <f t="shared" si="7"/>
        <v>-2.491188431484962E-3</v>
      </c>
      <c r="AI46" s="259">
        <f t="shared" si="8"/>
        <v>-6.4770899218609013E-2</v>
      </c>
      <c r="AK46" s="392"/>
      <c r="AL46" s="340">
        <v>40</v>
      </c>
      <c r="AM46" s="335">
        <v>-1.6811351562499995E-3</v>
      </c>
      <c r="AN46" s="323">
        <v>1.2526666666666666E-4</v>
      </c>
      <c r="AO46" s="323">
        <v>-2.5153333333333333E-6</v>
      </c>
      <c r="AP46" s="323">
        <v>7.8133333333333328E-9</v>
      </c>
      <c r="AQ46" s="352">
        <v>-1.3606666666666665E-12</v>
      </c>
      <c r="AR46" s="354">
        <f t="shared" ref="AR46:AR47" si="26">IF(OR(AN$6&lt;-60,AN$6&gt;200),"out of range",IF($AN$6="","",AM46+AN46*$AN$6+AO46*$AN$6^2+AP46*$AN$6^3+AQ46*$AN$6^4))</f>
        <v>-7.3797265625000002E-4</v>
      </c>
      <c r="AS46" s="157">
        <f t="shared" ref="AS46:AS47" si="27">IF(OR(AN$6&lt;-60,AN$6&gt;200),"out of range",IF($AN$6="","",AR46*125))</f>
        <v>-9.2246582031249996E-2</v>
      </c>
    </row>
    <row r="47" spans="2:45" ht="15.95" customHeight="1" thickBot="1" x14ac:dyDescent="0.3">
      <c r="B47" s="471" t="s">
        <v>21</v>
      </c>
      <c r="C47" s="31">
        <v>26</v>
      </c>
      <c r="D47" s="28">
        <v>0.01</v>
      </c>
      <c r="E47" s="18">
        <v>5.8221723159236905E-7</v>
      </c>
      <c r="F47" s="191">
        <v>1.6585866683192652</v>
      </c>
      <c r="G47" s="36">
        <f t="shared" si="6"/>
        <v>0.96313115885320189</v>
      </c>
      <c r="H47" s="37">
        <f t="shared" si="4"/>
        <v>25.041410130183248</v>
      </c>
      <c r="I47" s="4"/>
      <c r="J47" s="422" t="s">
        <v>21</v>
      </c>
      <c r="K47" s="103">
        <v>26</v>
      </c>
      <c r="L47" s="109">
        <v>271</v>
      </c>
      <c r="M47" s="110">
        <v>2.0310000000000001</v>
      </c>
      <c r="N47" s="110">
        <v>1.44</v>
      </c>
      <c r="O47" s="37">
        <f t="shared" si="13"/>
        <v>705.48225939020506</v>
      </c>
      <c r="Q47" s="401" t="s">
        <v>21</v>
      </c>
      <c r="R47" s="232">
        <v>26</v>
      </c>
      <c r="S47" s="242">
        <v>1.9346930086928525E-2</v>
      </c>
      <c r="T47" s="243">
        <v>1.8205996842823109E-2</v>
      </c>
      <c r="U47" s="243">
        <v>4.0735600670612453E-4</v>
      </c>
      <c r="V47" s="243">
        <v>9.1619897460319913E-2</v>
      </c>
      <c r="W47" s="243">
        <v>2.9517437046180033E-4</v>
      </c>
      <c r="X47" s="228">
        <v>1.7484931463382609</v>
      </c>
      <c r="Y47" s="221">
        <f>IF(T$6&gt;600,"out of range",IF($T$6="","",((S47+T47*$T$6+U47*$T$6^2)/(1+V47*$T$6+W47*$T$6^2))^X47))</f>
        <v>0.23673762674944987</v>
      </c>
      <c r="AA47" s="384"/>
      <c r="AB47" s="287">
        <v>60</v>
      </c>
      <c r="AC47" s="307">
        <v>3.6276948438835601E-4</v>
      </c>
      <c r="AD47" s="297">
        <v>-8.1579952416475626E-3</v>
      </c>
      <c r="AE47" s="297">
        <v>-9.4955167199198566E-5</v>
      </c>
      <c r="AF47" s="297">
        <v>2.6068382189108335E-5</v>
      </c>
      <c r="AG47" s="298">
        <v>-1.1882682537101203E-6</v>
      </c>
      <c r="AH47" s="268">
        <f t="shared" si="7"/>
        <v>-3.7367826472274432E-3</v>
      </c>
      <c r="AI47" s="260">
        <f t="shared" si="8"/>
        <v>-9.7156348827913519E-2</v>
      </c>
      <c r="AK47" s="393"/>
      <c r="AL47" s="342">
        <v>60</v>
      </c>
      <c r="AM47" s="337">
        <v>-2.5217027343749994E-3</v>
      </c>
      <c r="AN47" s="330">
        <v>1.8789999999999999E-4</v>
      </c>
      <c r="AO47" s="330">
        <v>-3.7730000000000001E-6</v>
      </c>
      <c r="AP47" s="330">
        <v>1.172E-8</v>
      </c>
      <c r="AQ47" s="351">
        <v>-2.0409999999999999E-12</v>
      </c>
      <c r="AR47" s="356">
        <f t="shared" si="26"/>
        <v>-1.106958984375E-3</v>
      </c>
      <c r="AS47" s="158">
        <f t="shared" si="27"/>
        <v>-0.13836987304687501</v>
      </c>
    </row>
    <row r="48" spans="2:45" ht="15.95" customHeight="1" x14ac:dyDescent="0.25">
      <c r="B48" s="472"/>
      <c r="C48" s="32">
        <v>40</v>
      </c>
      <c r="D48" s="29">
        <v>0.01</v>
      </c>
      <c r="E48" s="16">
        <v>1.3584193306853901E-6</v>
      </c>
      <c r="F48" s="192">
        <v>1.6508404646967436</v>
      </c>
      <c r="G48" s="38">
        <f t="shared" si="6"/>
        <v>0.92026057472057665</v>
      </c>
      <c r="H48" s="39">
        <f t="shared" si="4"/>
        <v>36.810422988823063</v>
      </c>
      <c r="J48" s="423"/>
      <c r="K48" s="104">
        <v>40</v>
      </c>
      <c r="L48" s="98">
        <v>309</v>
      </c>
      <c r="M48" s="89">
        <v>2.14</v>
      </c>
      <c r="N48" s="89">
        <v>1.46</v>
      </c>
      <c r="O48" s="39">
        <f t="shared" si="13"/>
        <v>676.79117290951388</v>
      </c>
      <c r="Q48" s="402"/>
      <c r="R48" s="235">
        <v>40</v>
      </c>
      <c r="S48" s="244">
        <v>3.6273248903558486E-2</v>
      </c>
      <c r="T48" s="245">
        <v>2.1484087348341611E-2</v>
      </c>
      <c r="U48" s="245">
        <v>6.9718005523152046E-4</v>
      </c>
      <c r="V48" s="245">
        <v>0.10289963701426555</v>
      </c>
      <c r="W48" s="245">
        <v>5.1752929170804788E-4</v>
      </c>
      <c r="X48" s="229">
        <v>1.7184132380942143</v>
      </c>
      <c r="Y48" s="222">
        <f>IF(T$6&gt;370,"out of range",IF($T$6="","",((S48+T48*$T$6+U48*$T$6^2)/(1+V48*$T$6+W48*$T$6^2))^X48))</f>
        <v>0.34888071468936155</v>
      </c>
    </row>
    <row r="49" spans="2:25" ht="15.95" customHeight="1" thickBot="1" x14ac:dyDescent="0.3">
      <c r="B49" s="473"/>
      <c r="C49" s="33">
        <v>60</v>
      </c>
      <c r="D49" s="30">
        <v>0.01</v>
      </c>
      <c r="E49" s="19">
        <v>1.1010311917135724E-6</v>
      </c>
      <c r="F49" s="198">
        <v>1.8189496240181691</v>
      </c>
      <c r="G49" s="40">
        <f t="shared" si="6"/>
        <v>0.8806206189215483</v>
      </c>
      <c r="H49" s="41">
        <f t="shared" si="4"/>
        <v>52.837237135292895</v>
      </c>
      <c r="J49" s="424"/>
      <c r="K49" s="106">
        <v>60</v>
      </c>
      <c r="L49" s="111">
        <v>251.4</v>
      </c>
      <c r="M49" s="112">
        <v>2.0659999999999998</v>
      </c>
      <c r="N49" s="112">
        <v>1.41</v>
      </c>
      <c r="O49" s="41">
        <f t="shared" si="13"/>
        <v>536.92420091325278</v>
      </c>
      <c r="Q49" s="403"/>
      <c r="R49" s="233">
        <v>60</v>
      </c>
      <c r="S49" s="246">
        <v>6.0473087765755863E-2</v>
      </c>
      <c r="T49" s="247">
        <v>2.0810667194590019E-2</v>
      </c>
      <c r="U49" s="247">
        <v>8.5824746706774139E-4</v>
      </c>
      <c r="V49" s="247">
        <v>8.4272343109202244E-2</v>
      </c>
      <c r="W49" s="247">
        <v>6.3522078518224781E-4</v>
      </c>
      <c r="X49" s="230">
        <v>1.6863608710277707</v>
      </c>
      <c r="Y49" s="224">
        <f>IF(T$6&gt;240,"out of range",IF($T$6="","",((S49+T49*$T$6+U49*$T$6^2)/(1+V49*$T$6+W49*$T$6^2))^X49))</f>
        <v>0.50102592140841518</v>
      </c>
    </row>
    <row r="50" spans="2:25" ht="15.95" customHeight="1" x14ac:dyDescent="0.25">
      <c r="B50" s="471" t="s">
        <v>23</v>
      </c>
      <c r="C50" s="34">
        <v>14</v>
      </c>
      <c r="D50" s="26">
        <v>0.01</v>
      </c>
      <c r="E50" s="17">
        <v>8.2737677014449544E-9</v>
      </c>
      <c r="F50" s="197">
        <v>2.2394290091721976</v>
      </c>
      <c r="G50" s="42">
        <f t="shared" ref="G50" si="28">IF(OR(0.01*(1/(D50+E50*(D$6^F50)))&lt;0.3,0.01*(1/(D50+E50*(D$6^F50)))&gt;1),"Out of Range",0.01*(1/(D50+E50*(D$6^F50))))</f>
        <v>0.9947502323068238</v>
      </c>
      <c r="H50" s="43">
        <f t="shared" ref="H50" si="29">IF(G50="Out of Range","Out of Range",G50*C50)</f>
        <v>13.926503252295532</v>
      </c>
      <c r="J50" s="489" t="s">
        <v>23</v>
      </c>
      <c r="K50" s="107">
        <v>14</v>
      </c>
      <c r="L50" s="97">
        <v>144.49</v>
      </c>
      <c r="M50" s="96">
        <v>2.0720000000000001</v>
      </c>
      <c r="N50" s="96">
        <v>1.379</v>
      </c>
      <c r="O50" s="43">
        <f t="shared" si="13"/>
        <v>269.59847238848238</v>
      </c>
      <c r="Q50" s="401" t="s">
        <v>23</v>
      </c>
      <c r="R50" s="234">
        <v>14</v>
      </c>
      <c r="S50" s="248">
        <v>3.9449622409800711E-2</v>
      </c>
      <c r="T50" s="249">
        <v>1.9217520190688158E-2</v>
      </c>
      <c r="U50" s="249">
        <v>4.8816017603633076E-4</v>
      </c>
      <c r="V50" s="249">
        <v>0.14301591897494007</v>
      </c>
      <c r="W50" s="249">
        <v>4.2167435125525083E-4</v>
      </c>
      <c r="X50" s="231">
        <v>1.8951601923448618</v>
      </c>
      <c r="Y50" s="225">
        <f>IF(T$6&gt;610,"out of range",IF($T$6="","",((S50+T50*$T$6+U50*$T$6^2)/(1+V50*$T$6+W50*$T$6^2))^X50))</f>
        <v>0.13012760519702918</v>
      </c>
    </row>
    <row r="51" spans="2:25" ht="15.95" customHeight="1" x14ac:dyDescent="0.25">
      <c r="B51" s="472"/>
      <c r="C51" s="34">
        <v>19</v>
      </c>
      <c r="D51" s="26">
        <v>0.01</v>
      </c>
      <c r="E51" s="17">
        <v>3.1356414722723549E-8</v>
      </c>
      <c r="F51" s="197">
        <v>2.1107453632639701</v>
      </c>
      <c r="G51" s="42">
        <f t="shared" ref="G51" si="30">IF(OR(0.01*(1/(D51+E51*(D$6^F51)))&lt;0.3,0.01*(1/(D51+E51*(D$6^F51)))&gt;1),"Out of Range",0.01*(1/(D51+E51*(D$6^F51))))</f>
        <v>0.98805460798357381</v>
      </c>
      <c r="H51" s="43">
        <f t="shared" ref="H51" si="31">IF(G51="Out of Range","Out of Range",G51*C51)</f>
        <v>18.773037551687903</v>
      </c>
      <c r="J51" s="490"/>
      <c r="K51" s="107">
        <v>19</v>
      </c>
      <c r="L51" s="97">
        <v>128.83702625648411</v>
      </c>
      <c r="M51" s="96">
        <v>2.0724861339315441</v>
      </c>
      <c r="N51" s="96">
        <v>1.3788687719860255</v>
      </c>
      <c r="O51" s="43">
        <f t="shared" ref="O51" si="32">IF(OR($K$6=0,$N$6=0),"",L51*$K$6^M51*$N$6^N51)</f>
        <v>240</v>
      </c>
      <c r="Q51" s="402"/>
      <c r="R51" s="234">
        <v>19</v>
      </c>
      <c r="S51" s="248">
        <v>3.9151690989919295E-2</v>
      </c>
      <c r="T51" s="249">
        <v>1.8660928532737996E-2</v>
      </c>
      <c r="U51" s="249">
        <v>5.2370553320284349E-4</v>
      </c>
      <c r="V51" s="249">
        <v>0.12254902154116082</v>
      </c>
      <c r="W51" s="249">
        <v>4.3678208006002651E-4</v>
      </c>
      <c r="X51" s="231">
        <v>1.8586690529727314</v>
      </c>
      <c r="Y51" s="225">
        <f>IF(T$6&gt;610,"out of range",IF($T$6="","",((S51+T51*$T$6+U51*$T$6^2)/(1+V51*$T$6+W51*$T$6^2))^X51))</f>
        <v>0.17729034500932189</v>
      </c>
    </row>
    <row r="52" spans="2:25" ht="15.95" customHeight="1" x14ac:dyDescent="0.25">
      <c r="B52" s="472"/>
      <c r="C52" s="34">
        <v>26</v>
      </c>
      <c r="D52" s="26">
        <v>0.01</v>
      </c>
      <c r="E52" s="17">
        <v>3.4443808411203399E-8</v>
      </c>
      <c r="F52" s="197">
        <v>2.2053376776478877</v>
      </c>
      <c r="G52" s="42">
        <f t="shared" si="6"/>
        <v>0.98113560996571514</v>
      </c>
      <c r="H52" s="43">
        <f t="shared" si="4"/>
        <v>25.509525859108592</v>
      </c>
      <c r="J52" s="490"/>
      <c r="K52" s="104">
        <v>26</v>
      </c>
      <c r="L52" s="93">
        <v>113.53016772226745</v>
      </c>
      <c r="M52" s="88">
        <v>2.0724861339315441</v>
      </c>
      <c r="N52" s="88">
        <v>1.3788687719860255</v>
      </c>
      <c r="O52" s="39">
        <f t="shared" si="13"/>
        <v>211.48610026981967</v>
      </c>
      <c r="Q52" s="402"/>
      <c r="R52" s="235">
        <v>26</v>
      </c>
      <c r="S52" s="244">
        <v>6.4046605406962442E-2</v>
      </c>
      <c r="T52" s="245">
        <v>1.5722671234822773E-2</v>
      </c>
      <c r="U52" s="245">
        <v>5.5410444035713425E-4</v>
      </c>
      <c r="V52" s="245">
        <v>9.6846829945429605E-2</v>
      </c>
      <c r="W52" s="245">
        <v>4.5681728937560788E-4</v>
      </c>
      <c r="X52" s="229">
        <v>1.8129893869729738</v>
      </c>
      <c r="Y52" s="222">
        <f>IF(T$6&gt;440,"out of range",IF($T$6="","",((S52+T52*$T$6+U52*$T$6^2)/(1+V52*$T$6+W52*$T$6^2))^X52))</f>
        <v>0.24264277486647162</v>
      </c>
    </row>
    <row r="53" spans="2:25" ht="15.95" customHeight="1" x14ac:dyDescent="0.25">
      <c r="B53" s="472"/>
      <c r="C53" s="32">
        <v>40</v>
      </c>
      <c r="D53" s="29">
        <v>0.01</v>
      </c>
      <c r="E53" s="16">
        <v>5.9192491666018686E-7</v>
      </c>
      <c r="F53" s="192">
        <v>1.8552832463136577</v>
      </c>
      <c r="G53" s="38">
        <f t="shared" si="6"/>
        <v>0.92249969067200144</v>
      </c>
      <c r="H53" s="39">
        <f t="shared" si="4"/>
        <v>36.899987626880055</v>
      </c>
      <c r="J53" s="490"/>
      <c r="K53" s="104">
        <v>40</v>
      </c>
      <c r="L53" s="93">
        <v>113.53016772226745</v>
      </c>
      <c r="M53" s="88">
        <v>2.0724861339315441</v>
      </c>
      <c r="N53" s="88">
        <v>1.3788687719860255</v>
      </c>
      <c r="O53" s="39">
        <f t="shared" si="13"/>
        <v>211.48610026981967</v>
      </c>
      <c r="Q53" s="402"/>
      <c r="R53" s="235">
        <v>40</v>
      </c>
      <c r="S53" s="244">
        <v>3.8100941927393682E-2</v>
      </c>
      <c r="T53" s="245">
        <v>1.7199137254803751E-2</v>
      </c>
      <c r="U53" s="245">
        <v>5.9821793060122331E-4</v>
      </c>
      <c r="V53" s="245">
        <v>8.2247973817155429E-2</v>
      </c>
      <c r="W53" s="245">
        <v>4.8520927127237973E-4</v>
      </c>
      <c r="X53" s="229">
        <v>1.6835295282272702</v>
      </c>
      <c r="Y53" s="222">
        <f>IF(T$6&gt;300,"out of range",IF($T$6="","",((S53+T53*$T$6+U53*$T$6^2)/(1+V53*$T$6+W53*$T$6^2))^X53))</f>
        <v>0.34995461987362414</v>
      </c>
    </row>
    <row r="54" spans="2:25" ht="15.95" customHeight="1" thickBot="1" x14ac:dyDescent="0.3">
      <c r="B54" s="473"/>
      <c r="C54" s="35">
        <v>60</v>
      </c>
      <c r="D54" s="27">
        <v>0.01</v>
      </c>
      <c r="E54" s="20">
        <v>5.917159763313609E-7</v>
      </c>
      <c r="F54" s="193">
        <v>2</v>
      </c>
      <c r="G54" s="44">
        <f t="shared" si="6"/>
        <v>0.87113402061855671</v>
      </c>
      <c r="H54" s="45">
        <f t="shared" si="4"/>
        <v>52.268041237113401</v>
      </c>
      <c r="J54" s="490"/>
      <c r="K54" s="105">
        <v>60</v>
      </c>
      <c r="L54" s="94">
        <v>113.53016772226745</v>
      </c>
      <c r="M54" s="95">
        <v>2.0724861339315441</v>
      </c>
      <c r="N54" s="95">
        <v>1.3788687719860255</v>
      </c>
      <c r="O54" s="45">
        <f t="shared" si="13"/>
        <v>211.48610026981967</v>
      </c>
      <c r="Q54" s="402"/>
      <c r="R54" s="236">
        <v>60</v>
      </c>
      <c r="S54" s="250">
        <v>3.5888902828607246E-2</v>
      </c>
      <c r="T54" s="251">
        <v>1.8617801892599806E-2</v>
      </c>
      <c r="U54" s="251">
        <v>6.2009471861421497E-4</v>
      </c>
      <c r="V54" s="251">
        <v>6.3411281805225275E-2</v>
      </c>
      <c r="W54" s="251">
        <v>4.8970454353600287E-4</v>
      </c>
      <c r="X54" s="252">
        <v>1.6298586706784275</v>
      </c>
      <c r="Y54" s="223">
        <f>IF(T$6&gt;200,"out of range",IF($T$6="","",((S54+T54*$T$6+U54*$T$6^2)/(1+V54*$T$6+W54*$T$6^2))^X54))</f>
        <v>0.49147713096800022</v>
      </c>
    </row>
    <row r="55" spans="2:25" ht="15" customHeight="1" x14ac:dyDescent="0.25">
      <c r="B55" s="475" t="s">
        <v>36</v>
      </c>
      <c r="C55" s="186">
        <v>14</v>
      </c>
      <c r="D55" s="162">
        <v>0.01</v>
      </c>
      <c r="E55" s="163">
        <v>3.0659283048008397E-7</v>
      </c>
      <c r="F55" s="164">
        <v>1.8502756989801954</v>
      </c>
      <c r="G55" s="199">
        <f t="shared" ref="G55:G71" si="33">IF(OR(0.01*(1/(D55+E55*(D$6^F55)))&lt;0.3,0.01*(1/(D55+E55*(D$6^F55)))&gt;1),"Out of Range",0.01*(1/(D55+E55*(D$6^F55))))</f>
        <v>0.95907601314876278</v>
      </c>
      <c r="H55" s="200">
        <f t="shared" ref="H55:H71" si="34">IF(G55="Out of Range","Out of Range",G55*C55)</f>
        <v>13.427064184082679</v>
      </c>
      <c r="J55" s="491" t="s">
        <v>42</v>
      </c>
      <c r="K55" s="202">
        <v>14</v>
      </c>
      <c r="L55" s="207">
        <v>29.3</v>
      </c>
      <c r="M55" s="208">
        <v>1.988</v>
      </c>
      <c r="N55" s="208">
        <v>1.5409999999999999</v>
      </c>
      <c r="O55" s="37">
        <f t="shared" si="13"/>
        <v>125.02025979332595</v>
      </c>
      <c r="Q55" s="411" t="s">
        <v>42</v>
      </c>
      <c r="R55" s="237">
        <v>14</v>
      </c>
      <c r="S55" s="253">
        <v>5.2164383809906546E-2</v>
      </c>
      <c r="T55" s="243">
        <v>1.5071499705265431E-2</v>
      </c>
      <c r="U55" s="243">
        <v>4.3230442838915005E-4</v>
      </c>
      <c r="V55" s="243">
        <v>0.10355172899590638</v>
      </c>
      <c r="W55" s="243">
        <v>5.1744515891175881E-4</v>
      </c>
      <c r="X55" s="228">
        <v>1.95150471367823</v>
      </c>
      <c r="Y55" s="221">
        <f t="shared" ref="Y55:Y71" si="35">IF(T$6&gt;200,"out of range",IF($T$6="","",((S55+T55*$T$6+U55*$T$6^2)/(1+V55*$T$6+W55*$T$6^2))^X55))</f>
        <v>0.12695553377493732</v>
      </c>
    </row>
    <row r="56" spans="2:25" ht="15" customHeight="1" x14ac:dyDescent="0.25">
      <c r="B56" s="476"/>
      <c r="C56" s="187">
        <v>26</v>
      </c>
      <c r="D56" s="165">
        <v>0.01</v>
      </c>
      <c r="E56" s="166">
        <v>4.5812287039341553E-7</v>
      </c>
      <c r="F56" s="167">
        <v>1.8684790177606485</v>
      </c>
      <c r="G56" s="201">
        <f t="shared" si="33"/>
        <v>0.93592165670922445</v>
      </c>
      <c r="H56" s="45">
        <f t="shared" si="34"/>
        <v>24.333963074439836</v>
      </c>
      <c r="J56" s="492"/>
      <c r="K56" s="203">
        <v>26</v>
      </c>
      <c r="L56" s="209">
        <v>32.22</v>
      </c>
      <c r="M56" s="210">
        <v>1.988</v>
      </c>
      <c r="N56" s="210">
        <v>1.5409999999999999</v>
      </c>
      <c r="O56" s="39">
        <f t="shared" si="13"/>
        <v>137.47961674201235</v>
      </c>
      <c r="Q56" s="412"/>
      <c r="R56" s="238">
        <v>26</v>
      </c>
      <c r="S56" s="254">
        <v>2.7100899074641506E-2</v>
      </c>
      <c r="T56" s="245">
        <v>9.1511583262861729E-3</v>
      </c>
      <c r="U56" s="245">
        <v>4.0357659413461179E-4</v>
      </c>
      <c r="V56" s="245">
        <v>7.6364670801429016E-2</v>
      </c>
      <c r="W56" s="245">
        <v>3.9859503783833654E-4</v>
      </c>
      <c r="X56" s="229">
        <v>1.5153792894977383</v>
      </c>
      <c r="Y56" s="222">
        <f t="shared" si="35"/>
        <v>0.2335105453435386</v>
      </c>
    </row>
    <row r="57" spans="2:25" ht="15" customHeight="1" x14ac:dyDescent="0.25">
      <c r="B57" s="476"/>
      <c r="C57" s="187">
        <v>40</v>
      </c>
      <c r="D57" s="165">
        <v>0.01</v>
      </c>
      <c r="E57" s="166">
        <v>7.683548595115634E-7</v>
      </c>
      <c r="F57" s="167">
        <v>1.9036268480906116</v>
      </c>
      <c r="G57" s="201">
        <f t="shared" si="33"/>
        <v>0.88358354366092162</v>
      </c>
      <c r="H57" s="45">
        <f t="shared" si="34"/>
        <v>35.343341746436863</v>
      </c>
      <c r="J57" s="492"/>
      <c r="K57" s="203">
        <v>40</v>
      </c>
      <c r="L57" s="209">
        <v>34.229999999999997</v>
      </c>
      <c r="M57" s="210">
        <v>1.988</v>
      </c>
      <c r="N57" s="210">
        <v>1.5409999999999999</v>
      </c>
      <c r="O57" s="39">
        <f t="shared" si="13"/>
        <v>146.0560919018958</v>
      </c>
      <c r="Q57" s="412"/>
      <c r="R57" s="238">
        <v>40</v>
      </c>
      <c r="S57" s="254">
        <v>4.9896760583184395E-2</v>
      </c>
      <c r="T57" s="245">
        <v>1.5374069837285795E-2</v>
      </c>
      <c r="U57" s="245">
        <v>5.7924814053280304E-4</v>
      </c>
      <c r="V57" s="245">
        <v>7.2629069064894886E-2</v>
      </c>
      <c r="W57" s="245">
        <v>5.54184421843326E-4</v>
      </c>
      <c r="X57" s="229">
        <v>1.6888426963000145</v>
      </c>
      <c r="Y57" s="222">
        <f t="shared" si="35"/>
        <v>0.33388028040573481</v>
      </c>
    </row>
    <row r="58" spans="2:25" ht="15" customHeight="1" x14ac:dyDescent="0.25">
      <c r="B58" s="476"/>
      <c r="C58" s="187">
        <v>60</v>
      </c>
      <c r="D58" s="165">
        <v>0.01</v>
      </c>
      <c r="E58" s="166">
        <v>3.3712200535216209E-6</v>
      </c>
      <c r="F58" s="167">
        <v>1.7361064491754328</v>
      </c>
      <c r="G58" s="201">
        <f t="shared" si="33"/>
        <v>0.76912503975060931</v>
      </c>
      <c r="H58" s="45">
        <f t="shared" si="34"/>
        <v>46.14750238503656</v>
      </c>
      <c r="J58" s="492"/>
      <c r="K58" s="203">
        <v>60</v>
      </c>
      <c r="L58" s="209">
        <v>42.29</v>
      </c>
      <c r="M58" s="210">
        <v>1.988</v>
      </c>
      <c r="N58" s="210">
        <v>1.5409999999999999</v>
      </c>
      <c r="O58" s="39">
        <f t="shared" si="13"/>
        <v>180.44733060272196</v>
      </c>
      <c r="Q58" s="412"/>
      <c r="R58" s="238">
        <v>60</v>
      </c>
      <c r="S58" s="254">
        <v>4.2859201851125815E-2</v>
      </c>
      <c r="T58" s="245">
        <v>1.7870753733562898E-2</v>
      </c>
      <c r="U58" s="245">
        <v>6.0443303252360472E-4</v>
      </c>
      <c r="V58" s="245">
        <v>6.3350135791563428E-2</v>
      </c>
      <c r="W58" s="245">
        <v>5.5285355656970023E-4</v>
      </c>
      <c r="X58" s="229">
        <v>1.5862325330187232</v>
      </c>
      <c r="Y58" s="222">
        <f t="shared" si="35"/>
        <v>0.44384202351716073</v>
      </c>
    </row>
    <row r="59" spans="2:25" ht="15.75" customHeight="1" thickBot="1" x14ac:dyDescent="0.3">
      <c r="B59" s="477"/>
      <c r="C59" s="188">
        <v>90</v>
      </c>
      <c r="D59" s="168">
        <v>0.01</v>
      </c>
      <c r="E59" s="169">
        <v>1.5286870508189321E-5</v>
      </c>
      <c r="F59" s="170">
        <v>1.5834881383771153</v>
      </c>
      <c r="G59" s="161">
        <f t="shared" si="33"/>
        <v>0.57167882663339509</v>
      </c>
      <c r="H59" s="41">
        <f t="shared" si="34"/>
        <v>51.451094397005555</v>
      </c>
      <c r="J59" s="493"/>
      <c r="K59" s="204">
        <v>90</v>
      </c>
      <c r="L59" s="211">
        <v>46.32</v>
      </c>
      <c r="M59" s="212">
        <v>1.988</v>
      </c>
      <c r="N59" s="212">
        <v>1.5409999999999999</v>
      </c>
      <c r="O59" s="41">
        <f t="shared" si="13"/>
        <v>197.64294995313506</v>
      </c>
      <c r="Q59" s="413"/>
      <c r="R59" s="241">
        <v>90</v>
      </c>
      <c r="S59" s="255">
        <v>3.1569149129735873E-2</v>
      </c>
      <c r="T59" s="251">
        <v>2.185837767824823E-2</v>
      </c>
      <c r="U59" s="251">
        <v>6.0591744562109968E-4</v>
      </c>
      <c r="V59" s="251">
        <v>5.7195037639057582E-2</v>
      </c>
      <c r="W59" s="251">
        <v>5.6961103955503951E-4</v>
      </c>
      <c r="X59" s="252">
        <v>1.4763738336125987</v>
      </c>
      <c r="Y59" s="223">
        <f t="shared" si="35"/>
        <v>0.53494868236220006</v>
      </c>
    </row>
    <row r="60" spans="2:25" ht="15" customHeight="1" x14ac:dyDescent="0.25">
      <c r="B60" s="476" t="s">
        <v>37</v>
      </c>
      <c r="C60" s="189">
        <v>26</v>
      </c>
      <c r="D60" s="171">
        <v>0.01</v>
      </c>
      <c r="E60" s="172">
        <v>3.0306598297111785E-9</v>
      </c>
      <c r="F60" s="173">
        <v>2.5051162652390424</v>
      </c>
      <c r="G60" s="199">
        <f t="shared" si="33"/>
        <v>0.994563902006107</v>
      </c>
      <c r="H60" s="200">
        <f t="shared" si="34"/>
        <v>25.858661452158781</v>
      </c>
      <c r="J60" s="492" t="s">
        <v>37</v>
      </c>
      <c r="K60" s="205">
        <v>26</v>
      </c>
      <c r="L60" s="213">
        <v>242.31</v>
      </c>
      <c r="M60" s="214">
        <v>2.0150000000000001</v>
      </c>
      <c r="N60" s="214">
        <v>1.194</v>
      </c>
      <c r="O60" s="43">
        <f t="shared" si="13"/>
        <v>250.00087159108756</v>
      </c>
      <c r="Q60" s="411" t="s">
        <v>37</v>
      </c>
      <c r="R60" s="237">
        <v>26</v>
      </c>
      <c r="S60" s="253">
        <v>0.11263143023295125</v>
      </c>
      <c r="T60" s="243">
        <v>2.1609594873487882E-2</v>
      </c>
      <c r="U60" s="243">
        <v>4.7594711522512285E-4</v>
      </c>
      <c r="V60" s="243">
        <v>8.3592214737293183E-2</v>
      </c>
      <c r="W60" s="243">
        <v>3.5822380868131686E-4</v>
      </c>
      <c r="X60" s="228">
        <v>2.2235751362286038</v>
      </c>
      <c r="Y60" s="221">
        <f t="shared" si="35"/>
        <v>0.24445361613946737</v>
      </c>
    </row>
    <row r="61" spans="2:25" ht="15" customHeight="1" x14ac:dyDescent="0.25">
      <c r="B61" s="476"/>
      <c r="C61" s="187">
        <v>40</v>
      </c>
      <c r="D61" s="165">
        <v>0.01</v>
      </c>
      <c r="E61" s="166">
        <v>4.0282767352963108E-8</v>
      </c>
      <c r="F61" s="167">
        <v>2.2497980276157885</v>
      </c>
      <c r="G61" s="201">
        <f t="shared" si="33"/>
        <v>0.9739390383662665</v>
      </c>
      <c r="H61" s="45">
        <f t="shared" si="34"/>
        <v>38.957561534650658</v>
      </c>
      <c r="J61" s="492"/>
      <c r="K61" s="203">
        <v>40</v>
      </c>
      <c r="L61" s="209">
        <v>387.69</v>
      </c>
      <c r="M61" s="210">
        <v>2.0150000000000001</v>
      </c>
      <c r="N61" s="210">
        <v>1.194</v>
      </c>
      <c r="O61" s="39">
        <f t="shared" si="13"/>
        <v>399.99520410692395</v>
      </c>
      <c r="Q61" s="412"/>
      <c r="R61" s="238">
        <v>40</v>
      </c>
      <c r="S61" s="254">
        <v>0.13180179060189579</v>
      </c>
      <c r="T61" s="245">
        <v>2.6067027670404634E-2</v>
      </c>
      <c r="U61" s="245">
        <v>7.2034350810148745E-4</v>
      </c>
      <c r="V61" s="245">
        <v>8.6011723024308415E-2</v>
      </c>
      <c r="W61" s="245">
        <v>5.5470394118935522E-4</v>
      </c>
      <c r="X61" s="229">
        <v>2.2450349560755458</v>
      </c>
      <c r="Y61" s="222">
        <f t="shared" si="35"/>
        <v>0.37042922177602094</v>
      </c>
    </row>
    <row r="62" spans="2:25" ht="15.75" customHeight="1" thickBot="1" x14ac:dyDescent="0.3">
      <c r="B62" s="476"/>
      <c r="C62" s="190">
        <v>60</v>
      </c>
      <c r="D62" s="174">
        <v>0.01</v>
      </c>
      <c r="E62" s="175">
        <v>7.7808328423781968E-8</v>
      </c>
      <c r="F62" s="176">
        <v>2.2534569616579643</v>
      </c>
      <c r="G62" s="161">
        <f t="shared" si="33"/>
        <v>0.95018174059343485</v>
      </c>
      <c r="H62" s="41">
        <f t="shared" si="34"/>
        <v>57.010904435606093</v>
      </c>
      <c r="J62" s="492"/>
      <c r="K62" s="206">
        <v>60</v>
      </c>
      <c r="L62" s="215">
        <v>436.16</v>
      </c>
      <c r="M62" s="216">
        <v>2.0150000000000001</v>
      </c>
      <c r="N62" s="216">
        <v>1.194</v>
      </c>
      <c r="O62" s="45">
        <f t="shared" si="13"/>
        <v>450.00363234356297</v>
      </c>
      <c r="Q62" s="414"/>
      <c r="R62" s="239">
        <v>60</v>
      </c>
      <c r="S62" s="256">
        <v>9.0209073218512389E-2</v>
      </c>
      <c r="T62" s="247">
        <v>1.0982868230330331E-2</v>
      </c>
      <c r="U62" s="247">
        <v>5.5204036223557928E-5</v>
      </c>
      <c r="V62" s="247">
        <v>1.0943849272413245E-2</v>
      </c>
      <c r="W62" s="247">
        <v>3.780807287458009E-5</v>
      </c>
      <c r="X62" s="230">
        <v>1.6419225962840864</v>
      </c>
      <c r="Y62" s="224">
        <f t="shared" si="35"/>
        <v>0.53778275154178623</v>
      </c>
    </row>
    <row r="63" spans="2:25" ht="15" customHeight="1" x14ac:dyDescent="0.25">
      <c r="B63" s="475" t="s">
        <v>43</v>
      </c>
      <c r="C63" s="186">
        <v>26</v>
      </c>
      <c r="D63" s="162">
        <v>0.01</v>
      </c>
      <c r="E63" s="163">
        <v>2.312567332801025E-11</v>
      </c>
      <c r="F63" s="164">
        <v>3.2432185573616303</v>
      </c>
      <c r="G63" s="151">
        <f t="shared" si="33"/>
        <v>0.9992520019597495</v>
      </c>
      <c r="H63" s="152">
        <f t="shared" si="34"/>
        <v>25.980552050953488</v>
      </c>
      <c r="J63" s="491" t="s">
        <v>43</v>
      </c>
      <c r="K63" s="202">
        <v>26</v>
      </c>
      <c r="L63" s="207">
        <v>169.8</v>
      </c>
      <c r="M63" s="208">
        <v>2.165</v>
      </c>
      <c r="N63" s="208">
        <v>1.357</v>
      </c>
      <c r="O63" s="37">
        <f t="shared" si="13"/>
        <v>234.66049464400891</v>
      </c>
      <c r="Q63" s="415" t="s">
        <v>43</v>
      </c>
      <c r="R63" s="240">
        <v>26</v>
      </c>
      <c r="S63" s="257">
        <v>0.20128535887463042</v>
      </c>
      <c r="T63" s="249">
        <v>5.5535583870772877E-2</v>
      </c>
      <c r="U63" s="249">
        <v>9.4566318600518859E-4</v>
      </c>
      <c r="V63" s="249">
        <v>0.14849411515267039</v>
      </c>
      <c r="W63" s="249">
        <v>7.3890149951548099E-4</v>
      </c>
      <c r="X63" s="231">
        <v>3.2067218228353527</v>
      </c>
      <c r="Y63" s="225">
        <f t="shared" si="35"/>
        <v>0.24321557460654281</v>
      </c>
    </row>
    <row r="64" spans="2:25" ht="15" customHeight="1" x14ac:dyDescent="0.25">
      <c r="B64" s="476"/>
      <c r="C64" s="187">
        <v>40</v>
      </c>
      <c r="D64" s="165">
        <v>0.01</v>
      </c>
      <c r="E64" s="166">
        <v>8.9954230416282213E-9</v>
      </c>
      <c r="F64" s="167">
        <v>2.4407276777761937</v>
      </c>
      <c r="G64" s="44">
        <f t="shared" si="33"/>
        <v>0.98754619317661996</v>
      </c>
      <c r="H64" s="45">
        <f t="shared" si="34"/>
        <v>39.501847727064799</v>
      </c>
      <c r="J64" s="492"/>
      <c r="K64" s="203">
        <v>40</v>
      </c>
      <c r="L64" s="209">
        <v>119</v>
      </c>
      <c r="M64" s="210">
        <v>2.1829999999999998</v>
      </c>
      <c r="N64" s="210">
        <v>1.4430000000000001</v>
      </c>
      <c r="O64" s="39">
        <f t="shared" si="13"/>
        <v>220.88217884096267</v>
      </c>
      <c r="Q64" s="412"/>
      <c r="R64" s="238">
        <v>40</v>
      </c>
      <c r="S64" s="254">
        <v>6.9233115169580112E-2</v>
      </c>
      <c r="T64" s="245">
        <v>1.7111825094115685E-2</v>
      </c>
      <c r="U64" s="245">
        <v>7.2558846429246363E-4</v>
      </c>
      <c r="V64" s="245">
        <v>9.8732139143470093E-2</v>
      </c>
      <c r="W64" s="245">
        <v>4.5853642117006053E-4</v>
      </c>
      <c r="X64" s="229">
        <v>1.7219965932454355</v>
      </c>
      <c r="Y64" s="222">
        <f t="shared" si="35"/>
        <v>0.37733819614439112</v>
      </c>
    </row>
    <row r="65" spans="2:25" ht="15.75" customHeight="1" thickBot="1" x14ac:dyDescent="0.3">
      <c r="B65" s="477"/>
      <c r="C65" s="188">
        <v>60</v>
      </c>
      <c r="D65" s="168">
        <v>0.01</v>
      </c>
      <c r="E65" s="169">
        <v>1.5829183964123617E-8</v>
      </c>
      <c r="F65" s="170">
        <v>2.5719913937018628</v>
      </c>
      <c r="G65" s="44">
        <f t="shared" si="33"/>
        <v>0.96424139820293864</v>
      </c>
      <c r="H65" s="45">
        <f t="shared" si="34"/>
        <v>57.854483892176319</v>
      </c>
      <c r="J65" s="493"/>
      <c r="K65" s="204">
        <v>60</v>
      </c>
      <c r="L65" s="211">
        <v>47.8</v>
      </c>
      <c r="M65" s="212">
        <v>2.2010000000000001</v>
      </c>
      <c r="N65" s="212">
        <v>1.64</v>
      </c>
      <c r="O65" s="41">
        <f t="shared" si="13"/>
        <v>183.96648213758311</v>
      </c>
      <c r="Q65" s="413"/>
      <c r="R65" s="241">
        <v>60</v>
      </c>
      <c r="S65" s="255">
        <v>4.7121851873764109E-2</v>
      </c>
      <c r="T65" s="251">
        <v>1.7151514139679625E-2</v>
      </c>
      <c r="U65" s="251">
        <v>7.430276318681554E-4</v>
      </c>
      <c r="V65" s="251">
        <v>7.1378221370924616E-2</v>
      </c>
      <c r="W65" s="251">
        <v>4.8238616430848388E-4</v>
      </c>
      <c r="X65" s="252">
        <v>1.6307247055990945</v>
      </c>
      <c r="Y65" s="223">
        <f t="shared" si="35"/>
        <v>0.54703519933621958</v>
      </c>
    </row>
    <row r="66" spans="2:25" ht="15" customHeight="1" x14ac:dyDescent="0.25">
      <c r="B66" s="476" t="s">
        <v>44</v>
      </c>
      <c r="C66" s="189">
        <v>26</v>
      </c>
      <c r="D66" s="177">
        <v>0.01</v>
      </c>
      <c r="E66" s="178">
        <v>2.2370439527919467E-7</v>
      </c>
      <c r="F66" s="179">
        <v>1.90029635330771</v>
      </c>
      <c r="G66" s="199">
        <f t="shared" si="33"/>
        <v>0.96351782079887782</v>
      </c>
      <c r="H66" s="200">
        <f t="shared" si="34"/>
        <v>25.051463340770823</v>
      </c>
      <c r="J66" s="492" t="s">
        <v>44</v>
      </c>
      <c r="K66" s="205">
        <v>26</v>
      </c>
      <c r="L66" s="213">
        <v>90.4</v>
      </c>
      <c r="M66" s="214">
        <v>2.044</v>
      </c>
      <c r="N66" s="214">
        <v>1.4510000000000001</v>
      </c>
      <c r="O66" s="43">
        <f t="shared" si="13"/>
        <v>238.43714156093498</v>
      </c>
      <c r="Q66" s="411" t="s">
        <v>44</v>
      </c>
      <c r="R66" s="237">
        <v>26</v>
      </c>
      <c r="S66" s="253">
        <v>4.4881400953623182E-2</v>
      </c>
      <c r="T66" s="243">
        <v>1.7465630469789321E-2</v>
      </c>
      <c r="U66" s="243">
        <v>5.1057646235619218E-4</v>
      </c>
      <c r="V66" s="243">
        <v>9.4465536370223521E-2</v>
      </c>
      <c r="W66" s="243">
        <v>4.3419684381823168E-4</v>
      </c>
      <c r="X66" s="228">
        <v>1.8218490273290784</v>
      </c>
      <c r="Y66" s="221">
        <f t="shared" si="35"/>
        <v>0.23757385311063559</v>
      </c>
    </row>
    <row r="67" spans="2:25" ht="15" customHeight="1" x14ac:dyDescent="0.25">
      <c r="B67" s="476"/>
      <c r="C67" s="187">
        <v>40</v>
      </c>
      <c r="D67" s="180">
        <v>0.01</v>
      </c>
      <c r="E67" s="181">
        <v>7.9046893514627143E-7</v>
      </c>
      <c r="F67" s="182">
        <v>1.8391433013935874</v>
      </c>
      <c r="G67" s="201">
        <f t="shared" si="33"/>
        <v>0.90471075954710634</v>
      </c>
      <c r="H67" s="45">
        <f t="shared" si="34"/>
        <v>36.188430381884253</v>
      </c>
      <c r="J67" s="492"/>
      <c r="K67" s="203">
        <v>40</v>
      </c>
      <c r="L67" s="209">
        <v>139.19999999999999</v>
      </c>
      <c r="M67" s="210">
        <v>2.0179999999999998</v>
      </c>
      <c r="N67" s="210">
        <v>1.2869999999999999</v>
      </c>
      <c r="O67" s="39">
        <f t="shared" si="13"/>
        <v>205.21714003097333</v>
      </c>
      <c r="Q67" s="412"/>
      <c r="R67" s="238">
        <v>40</v>
      </c>
      <c r="S67" s="254">
        <v>4.8309287586041673E-2</v>
      </c>
      <c r="T67" s="245">
        <v>1.6365765715647553E-2</v>
      </c>
      <c r="U67" s="245">
        <v>5.8320191936248164E-4</v>
      </c>
      <c r="V67" s="245">
        <v>7.7510809435907685E-2</v>
      </c>
      <c r="W67" s="245">
        <v>5.0591983275505238E-4</v>
      </c>
      <c r="X67" s="229">
        <v>1.6918801982718834</v>
      </c>
      <c r="Y67" s="222">
        <f t="shared" si="35"/>
        <v>0.34276047931495252</v>
      </c>
    </row>
    <row r="68" spans="2:25" ht="15.75" customHeight="1" thickBot="1" x14ac:dyDescent="0.3">
      <c r="B68" s="476"/>
      <c r="C68" s="190">
        <v>60</v>
      </c>
      <c r="D68" s="183">
        <v>0.01</v>
      </c>
      <c r="E68" s="184">
        <v>3.3712200535216209E-6</v>
      </c>
      <c r="F68" s="185">
        <v>1.7361064491754328</v>
      </c>
      <c r="G68" s="161">
        <f t="shared" si="33"/>
        <v>0.76912503975060931</v>
      </c>
      <c r="H68" s="41">
        <f t="shared" si="34"/>
        <v>46.14750238503656</v>
      </c>
      <c r="J68" s="492"/>
      <c r="K68" s="206">
        <v>60</v>
      </c>
      <c r="L68" s="215">
        <v>137.6</v>
      </c>
      <c r="M68" s="216">
        <v>2.032</v>
      </c>
      <c r="N68" s="216">
        <v>1.296</v>
      </c>
      <c r="O68" s="45">
        <f t="shared" si="13"/>
        <v>203.46211725740778</v>
      </c>
      <c r="Q68" s="414"/>
      <c r="R68" s="239">
        <v>60</v>
      </c>
      <c r="S68" s="256">
        <v>4.2859201851125815E-2</v>
      </c>
      <c r="T68" s="247">
        <v>1.7870753733562898E-2</v>
      </c>
      <c r="U68" s="247">
        <v>6.0443303252360472E-4</v>
      </c>
      <c r="V68" s="247">
        <v>6.3350135791563428E-2</v>
      </c>
      <c r="W68" s="247">
        <v>5.5285355656970023E-4</v>
      </c>
      <c r="X68" s="230">
        <v>1.5862325330187232</v>
      </c>
      <c r="Y68" s="224">
        <f t="shared" si="35"/>
        <v>0.44384202351716073</v>
      </c>
    </row>
    <row r="69" spans="2:25" ht="15" customHeight="1" x14ac:dyDescent="0.25">
      <c r="B69" s="475" t="s">
        <v>45</v>
      </c>
      <c r="C69" s="186">
        <v>26</v>
      </c>
      <c r="D69" s="162">
        <v>0.01</v>
      </c>
      <c r="E69" s="163">
        <v>7.9553489676684324E-10</v>
      </c>
      <c r="F69" s="164">
        <v>2.5298950283827044</v>
      </c>
      <c r="G69" s="151">
        <f t="shared" si="33"/>
        <v>0.9984217019686995</v>
      </c>
      <c r="H69" s="152">
        <f t="shared" si="34"/>
        <v>25.958964251186188</v>
      </c>
      <c r="J69" s="491" t="s">
        <v>45</v>
      </c>
      <c r="K69" s="202">
        <v>26</v>
      </c>
      <c r="L69" s="207">
        <v>165.7</v>
      </c>
      <c r="M69" s="208">
        <v>2.1819999999999999</v>
      </c>
      <c r="N69" s="208">
        <v>1.5089999999999999</v>
      </c>
      <c r="O69" s="37">
        <f t="shared" si="13"/>
        <v>399.08760999549435</v>
      </c>
      <c r="Q69" s="415" t="s">
        <v>45</v>
      </c>
      <c r="R69" s="240">
        <v>26</v>
      </c>
      <c r="S69" s="257">
        <v>5.3225761225699539E-2</v>
      </c>
      <c r="T69" s="249">
        <v>1.6755245880530414E-2</v>
      </c>
      <c r="U69" s="249">
        <v>5.6987805488001883E-4</v>
      </c>
      <c r="V69" s="249">
        <v>0.13306018276131007</v>
      </c>
      <c r="W69" s="249">
        <v>2.8692801737120966E-4</v>
      </c>
      <c r="X69" s="231">
        <v>1.6429688087998477</v>
      </c>
      <c r="Y69" s="225">
        <f t="shared" si="35"/>
        <v>0.23878807294936452</v>
      </c>
    </row>
    <row r="70" spans="2:25" ht="15" customHeight="1" x14ac:dyDescent="0.25">
      <c r="B70" s="476"/>
      <c r="C70" s="187">
        <v>40</v>
      </c>
      <c r="D70" s="165">
        <v>0.01</v>
      </c>
      <c r="E70" s="166">
        <v>2.4343189822329417E-9</v>
      </c>
      <c r="F70" s="167">
        <v>2.6125528717042759</v>
      </c>
      <c r="G70" s="44">
        <f t="shared" si="33"/>
        <v>0.99336053096731547</v>
      </c>
      <c r="H70" s="45">
        <f t="shared" si="34"/>
        <v>39.734421238692619</v>
      </c>
      <c r="J70" s="492"/>
      <c r="K70" s="203">
        <v>40</v>
      </c>
      <c r="L70" s="209">
        <v>425.8</v>
      </c>
      <c r="M70" s="210">
        <v>2.2090000000000001</v>
      </c>
      <c r="N70" s="210">
        <v>1.25</v>
      </c>
      <c r="O70" s="39">
        <f t="shared" si="13"/>
        <v>349.87923035898547</v>
      </c>
      <c r="Q70" s="412"/>
      <c r="R70" s="238">
        <v>40</v>
      </c>
      <c r="S70" s="254">
        <v>0.18698533486512336</v>
      </c>
      <c r="T70" s="245">
        <v>4.0232583554367013E-2</v>
      </c>
      <c r="U70" s="245">
        <v>9.1173973517076862E-4</v>
      </c>
      <c r="V70" s="245">
        <v>0.11249957022709851</v>
      </c>
      <c r="W70" s="245">
        <v>6.5368844597781428E-4</v>
      </c>
      <c r="X70" s="229">
        <v>2.6850161887447777</v>
      </c>
      <c r="Y70" s="222">
        <f t="shared" si="35"/>
        <v>0.37767278265016851</v>
      </c>
    </row>
    <row r="71" spans="2:25" ht="15.75" customHeight="1" thickBot="1" x14ac:dyDescent="0.3">
      <c r="B71" s="476"/>
      <c r="C71" s="187">
        <v>60</v>
      </c>
      <c r="D71" s="165">
        <v>0.01</v>
      </c>
      <c r="E71" s="166">
        <v>9.7308373095029609E-9</v>
      </c>
      <c r="F71" s="167">
        <v>2.6252222383674413</v>
      </c>
      <c r="G71" s="44">
        <f t="shared" si="33"/>
        <v>0.97269141900887746</v>
      </c>
      <c r="H71" s="45">
        <f t="shared" si="34"/>
        <v>58.36148514053265</v>
      </c>
      <c r="J71" s="493"/>
      <c r="K71" s="204">
        <v>60</v>
      </c>
      <c r="L71" s="211">
        <v>644.20000000000005</v>
      </c>
      <c r="M71" s="212">
        <v>2.1920000000000002</v>
      </c>
      <c r="N71" s="212">
        <v>1.1519999999999999</v>
      </c>
      <c r="O71" s="41">
        <f t="shared" si="13"/>
        <v>375.17523693258698</v>
      </c>
      <c r="Q71" s="414"/>
      <c r="R71" s="239">
        <v>60</v>
      </c>
      <c r="S71" s="256">
        <v>5.2344352479564281E-2</v>
      </c>
      <c r="T71" s="247">
        <v>1.53270518002736E-2</v>
      </c>
      <c r="U71" s="247">
        <v>7.3037447363441023E-4</v>
      </c>
      <c r="V71" s="247">
        <v>7.1003388993005262E-2</v>
      </c>
      <c r="W71" s="247">
        <v>4.4517328347187199E-4</v>
      </c>
      <c r="X71" s="230">
        <v>1.5829058705492893</v>
      </c>
      <c r="Y71" s="224">
        <f t="shared" si="35"/>
        <v>0.55401303317062855</v>
      </c>
    </row>
    <row r="72" spans="2:25" ht="16.5" thickBot="1" x14ac:dyDescent="0.3">
      <c r="B72" s="57"/>
      <c r="C72" s="52"/>
      <c r="D72" s="53"/>
      <c r="E72" s="54"/>
      <c r="F72" s="54"/>
      <c r="G72" s="55"/>
      <c r="H72" s="56"/>
      <c r="J72" s="77"/>
      <c r="K72" s="76"/>
      <c r="L72" s="76"/>
      <c r="M72" s="76"/>
      <c r="N72" s="76"/>
      <c r="O72" s="82"/>
      <c r="Q72" s="114"/>
      <c r="R72" s="115"/>
      <c r="S72" s="115"/>
      <c r="T72" s="115"/>
      <c r="U72" s="115"/>
      <c r="V72" s="115"/>
      <c r="W72" s="115"/>
      <c r="X72" s="115"/>
      <c r="Y72" s="116"/>
    </row>
    <row r="73" spans="2:25" ht="19.5" thickBot="1" x14ac:dyDescent="0.35">
      <c r="B73" s="47"/>
      <c r="C73" s="438" t="s">
        <v>17</v>
      </c>
      <c r="D73" s="439"/>
      <c r="E73" s="439"/>
      <c r="F73" s="439"/>
      <c r="G73" s="440"/>
      <c r="H73" s="46"/>
      <c r="J73" s="77"/>
      <c r="K73" s="482" t="s">
        <v>17</v>
      </c>
      <c r="L73" s="483"/>
      <c r="M73" s="483"/>
      <c r="N73" s="484"/>
      <c r="O73" s="78"/>
      <c r="Q73" s="117"/>
      <c r="R73" s="451" t="s">
        <v>17</v>
      </c>
      <c r="S73" s="452"/>
      <c r="T73" s="452"/>
      <c r="U73" s="452"/>
      <c r="V73" s="453"/>
      <c r="W73" s="453"/>
      <c r="X73" s="454"/>
      <c r="Y73" s="118"/>
    </row>
    <row r="74" spans="2:25" ht="18.75" x14ac:dyDescent="0.3">
      <c r="B74" s="47"/>
      <c r="C74" s="466" t="s">
        <v>28</v>
      </c>
      <c r="D74" s="467"/>
      <c r="E74" s="467"/>
      <c r="F74" s="467" t="s">
        <v>27</v>
      </c>
      <c r="G74" s="468"/>
      <c r="H74" s="46"/>
      <c r="J74" s="77"/>
      <c r="K74" s="485" t="s">
        <v>18</v>
      </c>
      <c r="L74" s="486"/>
      <c r="M74" s="487" t="s">
        <v>19</v>
      </c>
      <c r="N74" s="488"/>
      <c r="O74" s="79"/>
      <c r="Q74" s="117"/>
      <c r="R74" s="379" t="s">
        <v>22</v>
      </c>
      <c r="S74" s="380"/>
      <c r="T74" s="380"/>
      <c r="U74" s="381"/>
      <c r="V74" s="409" t="s">
        <v>27</v>
      </c>
      <c r="W74" s="409"/>
      <c r="X74" s="410"/>
      <c r="Y74" s="118"/>
    </row>
    <row r="75" spans="2:25" ht="19.5" thickBot="1" x14ac:dyDescent="0.35">
      <c r="B75" s="47"/>
      <c r="C75" s="480">
        <f>IF(F75="","Input an AT/cm Value on right:",F75*0.4*PI())</f>
        <v>18.849555921538759</v>
      </c>
      <c r="D75" s="481"/>
      <c r="E75" s="481"/>
      <c r="F75" s="464">
        <v>15</v>
      </c>
      <c r="G75" s="465"/>
      <c r="H75" s="46"/>
      <c r="J75" s="77"/>
      <c r="K75" s="478">
        <f>IF(M75="","Input Guass Value on right",M75*0.0001)</f>
        <v>0.1</v>
      </c>
      <c r="L75" s="479"/>
      <c r="M75" s="494">
        <v>1000</v>
      </c>
      <c r="N75" s="495"/>
      <c r="O75" s="80"/>
      <c r="Q75" s="117"/>
      <c r="R75" s="395" t="str">
        <f>IF(V75="","Input an AT/cm Value on right:",V75*0.4*PI())</f>
        <v>Input an AT/cm Value on right:</v>
      </c>
      <c r="S75" s="396"/>
      <c r="T75" s="396"/>
      <c r="U75" s="397"/>
      <c r="V75" s="407"/>
      <c r="W75" s="407"/>
      <c r="X75" s="408"/>
      <c r="Y75" s="118"/>
    </row>
    <row r="76" spans="2:25" ht="15.75" x14ac:dyDescent="0.25">
      <c r="B76" s="47"/>
      <c r="C76" s="48"/>
      <c r="D76" s="48"/>
      <c r="E76" s="48"/>
      <c r="F76" s="48"/>
      <c r="G76" s="48"/>
      <c r="H76" s="46"/>
      <c r="J76" s="81"/>
      <c r="K76" s="76"/>
      <c r="L76" s="76"/>
      <c r="M76" s="76"/>
      <c r="N76" s="76"/>
      <c r="O76" s="82"/>
      <c r="Q76" s="117"/>
      <c r="R76" s="113"/>
      <c r="S76" s="113"/>
      <c r="T76" s="113"/>
      <c r="U76" s="113"/>
      <c r="V76" s="113"/>
      <c r="W76" s="113"/>
      <c r="X76" s="113"/>
      <c r="Y76" s="118"/>
    </row>
    <row r="77" spans="2:25" ht="15.75" thickBot="1" x14ac:dyDescent="0.3">
      <c r="B77" s="49"/>
      <c r="C77" s="50"/>
      <c r="D77" s="50"/>
      <c r="E77" s="50"/>
      <c r="F77" s="50"/>
      <c r="G77" s="50"/>
      <c r="H77" s="51"/>
      <c r="J77" s="83"/>
      <c r="K77" s="84"/>
      <c r="L77" s="84"/>
      <c r="M77" s="84"/>
      <c r="N77" s="85"/>
      <c r="O77" s="86"/>
      <c r="Q77" s="119"/>
      <c r="R77" s="120"/>
      <c r="S77" s="120"/>
      <c r="T77" s="120"/>
      <c r="U77" s="120"/>
      <c r="V77" s="120"/>
      <c r="W77" s="120"/>
      <c r="X77" s="120"/>
      <c r="Y77" s="121"/>
    </row>
  </sheetData>
  <mergeCells count="86">
    <mergeCell ref="K75:L75"/>
    <mergeCell ref="B47:B49"/>
    <mergeCell ref="B33:B39"/>
    <mergeCell ref="C75:E75"/>
    <mergeCell ref="K73:N73"/>
    <mergeCell ref="K74:L74"/>
    <mergeCell ref="M74:N74"/>
    <mergeCell ref="B69:B71"/>
    <mergeCell ref="J50:J54"/>
    <mergeCell ref="J55:J59"/>
    <mergeCell ref="J60:J62"/>
    <mergeCell ref="J63:J65"/>
    <mergeCell ref="J66:J68"/>
    <mergeCell ref="J69:J71"/>
    <mergeCell ref="M75:N75"/>
    <mergeCell ref="B9:B18"/>
    <mergeCell ref="C26:H26"/>
    <mergeCell ref="F75:G75"/>
    <mergeCell ref="C74:E74"/>
    <mergeCell ref="F74:G74"/>
    <mergeCell ref="B29:B30"/>
    <mergeCell ref="B31:B32"/>
    <mergeCell ref="B40:B46"/>
    <mergeCell ref="B50:B54"/>
    <mergeCell ref="B19:B28"/>
    <mergeCell ref="B55:B59"/>
    <mergeCell ref="B60:B62"/>
    <mergeCell ref="B63:B65"/>
    <mergeCell ref="B66:B68"/>
    <mergeCell ref="D6:F6"/>
    <mergeCell ref="C73:G73"/>
    <mergeCell ref="K26:O26"/>
    <mergeCell ref="AK9:AK18"/>
    <mergeCell ref="AA9:AA18"/>
    <mergeCell ref="AA19:AA24"/>
    <mergeCell ref="AK19:AK24"/>
    <mergeCell ref="R73:X73"/>
    <mergeCell ref="R26:Y26"/>
    <mergeCell ref="Q40:Q46"/>
    <mergeCell ref="Q29:Q30"/>
    <mergeCell ref="Q31:Q32"/>
    <mergeCell ref="Q69:Q71"/>
    <mergeCell ref="AA25:AA26"/>
    <mergeCell ref="AA27:AA28"/>
    <mergeCell ref="AA29:AA35"/>
    <mergeCell ref="B5:H5"/>
    <mergeCell ref="D2:F2"/>
    <mergeCell ref="D3:F3"/>
    <mergeCell ref="J5:L5"/>
    <mergeCell ref="M5:O5"/>
    <mergeCell ref="J9:J18"/>
    <mergeCell ref="J33:J39"/>
    <mergeCell ref="J47:J49"/>
    <mergeCell ref="J40:J46"/>
    <mergeCell ref="J29:J30"/>
    <mergeCell ref="J31:J32"/>
    <mergeCell ref="J19:J28"/>
    <mergeCell ref="R75:U75"/>
    <mergeCell ref="T2:V2"/>
    <mergeCell ref="T6:V6"/>
    <mergeCell ref="Q47:Q49"/>
    <mergeCell ref="Q33:Q39"/>
    <mergeCell ref="V75:X75"/>
    <mergeCell ref="V74:X74"/>
    <mergeCell ref="Q50:Q54"/>
    <mergeCell ref="Q55:Q59"/>
    <mergeCell ref="Q60:Q62"/>
    <mergeCell ref="Q63:Q65"/>
    <mergeCell ref="Q66:Q68"/>
    <mergeCell ref="Q5:Y5"/>
    <mergeCell ref="Q19:Q28"/>
    <mergeCell ref="AN2:AP2"/>
    <mergeCell ref="AN6:AP6"/>
    <mergeCell ref="AM5:AQ5"/>
    <mergeCell ref="Q9:Q18"/>
    <mergeCell ref="R74:U74"/>
    <mergeCell ref="AA43:AA47"/>
    <mergeCell ref="AA36:AA42"/>
    <mergeCell ref="AK25:AK26"/>
    <mergeCell ref="AK27:AK28"/>
    <mergeCell ref="AK29:AK35"/>
    <mergeCell ref="AK36:AK42"/>
    <mergeCell ref="AK43:AK47"/>
    <mergeCell ref="AC2:AG2"/>
    <mergeCell ref="AD6:AF6"/>
    <mergeCell ref="AD5:AF5"/>
  </mergeCells>
  <pageMargins left="0.7" right="0.7" top="0.75" bottom="0.75" header="0.3" footer="0.3"/>
  <pageSetup orientation="portrait"/>
  <headerFooter>
    <oddFooter>&amp;C&amp;D                                &amp;F</oddFooter>
  </headerFooter>
  <ignoredErrors>
    <ignoredError sqref="AH18:AI18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F66C86486554F9D4CF66B00E42A8E" ma:contentTypeVersion="15" ma:contentTypeDescription="Create a new document." ma:contentTypeScope="" ma:versionID="fc2d814e3cce8b6c3105d31c8c595833">
  <xsd:schema xmlns:xsd="http://www.w3.org/2001/XMLSchema" xmlns:xs="http://www.w3.org/2001/XMLSchema" xmlns:p="http://schemas.microsoft.com/office/2006/metadata/properties" xmlns:ns1="http://schemas.microsoft.com/sharepoint/v3" xmlns:ns3="12ba6907-f4f1-47f5-a170-c530dac6a716" xmlns:ns4="ef5b29aa-7cc9-4ad0-879f-9cde746c839e" targetNamespace="http://schemas.microsoft.com/office/2006/metadata/properties" ma:root="true" ma:fieldsID="2016f3226900f138823f3b70016c643d" ns1:_="" ns3:_="" ns4:_="">
    <xsd:import namespace="http://schemas.microsoft.com/sharepoint/v3"/>
    <xsd:import namespace="12ba6907-f4f1-47f5-a170-c530dac6a716"/>
    <xsd:import namespace="ef5b29aa-7cc9-4ad0-879f-9cde746c839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a6907-f4f1-47f5-a170-c530dac6a7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5b29aa-7cc9-4ad0-879f-9cde746c83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1DD49D-BD21-4A96-9D39-E6F00672E0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DA8711-F577-4FD7-B346-E61A4CCE7BD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FC51857-1F11-4F33-8873-BE6EDDD1B0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2ba6907-f4f1-47f5-a170-c530dac6a716"/>
    <ds:schemaRef ds:uri="ef5b29aa-7cc9-4ad0-879f-9cde746c83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Magnetics Curve Fit Equations</vt:lpstr>
      <vt:lpstr>'Magnetics Curve Fit Equations'!Print_Area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nteng</dc:creator>
  <cp:lastModifiedBy>Yudi Xiao</cp:lastModifiedBy>
  <cp:lastPrinted>2017-08-16T15:05:02Z</cp:lastPrinted>
  <dcterms:created xsi:type="dcterms:W3CDTF">2011-02-25T18:59:42Z</dcterms:created>
  <dcterms:modified xsi:type="dcterms:W3CDTF">2021-02-16T10:11:51Z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0x010100920F66C86486554F9D4CF66B00E42A8E</vt:lpwstr>
  </property>
</Properties>
</file>