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022"/>
  <workbookPr autoCompressPictures="0"/>
  <bookViews>
    <workbookView xWindow="0" yWindow="0" windowWidth="24000" windowHeight="15720" activeTab="1"/>
  </bookViews>
  <sheets>
    <sheet name="Sheet1" sheetId="1" r:id="rId1"/>
    <sheet name="工作表1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C9" i="2"/>
  <c r="C8" i="2"/>
  <c r="D8" i="2"/>
  <c r="D9" i="2"/>
  <c r="D10" i="2"/>
  <c r="C14" i="2"/>
  <c r="C18" i="2"/>
  <c r="C30" i="2"/>
  <c r="C15" i="2"/>
  <c r="C17" i="2"/>
  <c r="C31" i="2"/>
  <c r="C32" i="2"/>
  <c r="G16" i="2"/>
  <c r="C20" i="2"/>
  <c r="C24" i="2"/>
  <c r="C21" i="2"/>
  <c r="C25" i="2"/>
  <c r="C26" i="2"/>
  <c r="G14" i="2"/>
  <c r="F20" i="2"/>
  <c r="K14" i="2"/>
  <c r="J20" i="2"/>
  <c r="C27" i="2"/>
  <c r="C28" i="2"/>
  <c r="C29" i="2"/>
  <c r="G15" i="2"/>
  <c r="F21" i="2"/>
  <c r="K15" i="2"/>
  <c r="K20" i="2"/>
  <c r="F25" i="2"/>
  <c r="D18" i="2"/>
  <c r="D30" i="2"/>
  <c r="D15" i="2"/>
  <c r="D17" i="2"/>
  <c r="D31" i="2"/>
  <c r="D14" i="2"/>
  <c r="D32" i="2"/>
  <c r="H16" i="2"/>
  <c r="D20" i="2"/>
  <c r="D24" i="2"/>
  <c r="D21" i="2"/>
  <c r="D25" i="2"/>
  <c r="D26" i="2"/>
  <c r="H14" i="2"/>
  <c r="F22" i="2"/>
  <c r="L20" i="2"/>
  <c r="D27" i="2"/>
  <c r="D28" i="2"/>
  <c r="D29" i="2"/>
  <c r="H15" i="2"/>
  <c r="F23" i="2"/>
  <c r="M20" i="2"/>
  <c r="F29" i="2"/>
  <c r="F33" i="2"/>
  <c r="G20" i="2"/>
  <c r="J21" i="2"/>
  <c r="G21" i="2"/>
  <c r="K21" i="2"/>
  <c r="G26" i="2"/>
  <c r="G22" i="2"/>
  <c r="L21" i="2"/>
  <c r="G23" i="2"/>
  <c r="M21" i="2"/>
  <c r="G30" i="2"/>
  <c r="G34" i="2"/>
  <c r="F26" i="2"/>
  <c r="F30" i="2"/>
  <c r="F34" i="2"/>
  <c r="G25" i="2"/>
  <c r="G29" i="2"/>
  <c r="G33" i="2"/>
  <c r="H39" i="2"/>
  <c r="H20" i="2"/>
  <c r="J22" i="2"/>
  <c r="H21" i="2"/>
  <c r="K22" i="2"/>
  <c r="H27" i="2"/>
  <c r="H22" i="2"/>
  <c r="L22" i="2"/>
  <c r="H23" i="2"/>
  <c r="M22" i="2"/>
  <c r="H31" i="2"/>
  <c r="H35" i="2"/>
  <c r="G27" i="2"/>
  <c r="G31" i="2"/>
  <c r="G35" i="2"/>
  <c r="H26" i="2"/>
  <c r="H30" i="2"/>
  <c r="H34" i="2"/>
  <c r="F37" i="2"/>
  <c r="F27" i="2"/>
  <c r="F31" i="2"/>
  <c r="F35" i="2"/>
  <c r="F38" i="2"/>
  <c r="H25" i="2"/>
  <c r="H29" i="2"/>
  <c r="H33" i="2"/>
  <c r="F39" i="2"/>
  <c r="D38" i="2"/>
  <c r="H43" i="2"/>
  <c r="G39" i="2"/>
  <c r="G43" i="2"/>
  <c r="F43" i="2"/>
  <c r="H38" i="2"/>
  <c r="H42" i="2"/>
  <c r="G38" i="2"/>
  <c r="G42" i="2"/>
  <c r="F42" i="2"/>
  <c r="H37" i="2"/>
  <c r="H41" i="2"/>
  <c r="G37" i="2"/>
  <c r="G41" i="2"/>
  <c r="F41" i="2"/>
  <c r="G17" i="2"/>
  <c r="N14" i="2"/>
  <c r="N24" i="2"/>
  <c r="G18" i="2"/>
  <c r="N15" i="2"/>
  <c r="N25" i="2"/>
  <c r="H17" i="2"/>
  <c r="O14" i="2"/>
  <c r="N26" i="2"/>
  <c r="H18" i="2"/>
  <c r="O15" i="2"/>
  <c r="N27" i="2"/>
  <c r="J25" i="2"/>
  <c r="J26" i="2"/>
  <c r="J27" i="2"/>
  <c r="J32" i="2"/>
  <c r="K32" i="2"/>
  <c r="J31" i="2"/>
  <c r="K31" i="2"/>
  <c r="J30" i="2"/>
  <c r="K30" i="2"/>
  <c r="O27" i="2"/>
  <c r="O26" i="2"/>
  <c r="O25" i="2"/>
  <c r="O24" i="2"/>
  <c r="C24" i="1"/>
  <c r="K15" i="1"/>
  <c r="K14" i="1"/>
  <c r="D17" i="1"/>
  <c r="D21" i="1"/>
  <c r="D27" i="1"/>
  <c r="D14" i="1"/>
  <c r="D20" i="1"/>
  <c r="D15" i="1"/>
  <c r="D18" i="1"/>
  <c r="D28" i="1"/>
  <c r="D29" i="1"/>
  <c r="H15" i="1"/>
  <c r="D30" i="1"/>
  <c r="D31" i="1"/>
  <c r="D32" i="1"/>
  <c r="H16" i="1"/>
  <c r="H18" i="1"/>
  <c r="O15" i="1"/>
  <c r="N27" i="1"/>
  <c r="D24" i="1"/>
  <c r="D25" i="1"/>
  <c r="D26" i="1"/>
  <c r="H14" i="1"/>
  <c r="H17" i="1"/>
  <c r="O14" i="1"/>
  <c r="N26" i="1"/>
  <c r="C17" i="1"/>
  <c r="C21" i="1"/>
  <c r="C27" i="1"/>
  <c r="C14" i="1"/>
  <c r="C20" i="1"/>
  <c r="C15" i="1"/>
  <c r="C18" i="1"/>
  <c r="C28" i="1"/>
  <c r="C29" i="1"/>
  <c r="G15" i="1"/>
  <c r="C30" i="1"/>
  <c r="C31" i="1"/>
  <c r="C32" i="1"/>
  <c r="G16" i="1"/>
  <c r="G18" i="1"/>
  <c r="N15" i="1"/>
  <c r="N25" i="1"/>
  <c r="C25" i="1"/>
  <c r="C26" i="1"/>
  <c r="G14" i="1"/>
  <c r="G17" i="1"/>
  <c r="N14" i="1"/>
  <c r="N24" i="1"/>
  <c r="H23" i="1"/>
  <c r="M22" i="1"/>
  <c r="H21" i="1"/>
  <c r="K22" i="1"/>
  <c r="H22" i="1"/>
  <c r="L22" i="1"/>
  <c r="H20" i="1"/>
  <c r="J22" i="1"/>
  <c r="G23" i="1"/>
  <c r="M21" i="1"/>
  <c r="G21" i="1"/>
  <c r="K21" i="1"/>
  <c r="G22" i="1"/>
  <c r="L21" i="1"/>
  <c r="H30" i="1"/>
  <c r="G20" i="1"/>
  <c r="J21" i="1"/>
  <c r="F23" i="1"/>
  <c r="M20" i="1"/>
  <c r="F21" i="1"/>
  <c r="K20" i="1"/>
  <c r="F22" i="1"/>
  <c r="L20" i="1"/>
  <c r="F20" i="1"/>
  <c r="J20" i="1"/>
  <c r="F26" i="1"/>
  <c r="F25" i="1"/>
  <c r="H27" i="1"/>
  <c r="F31" i="1"/>
  <c r="J26" i="1"/>
  <c r="H31" i="1"/>
  <c r="J27" i="1"/>
  <c r="J25" i="1"/>
  <c r="G31" i="1"/>
  <c r="H29" i="1"/>
  <c r="H26" i="1"/>
  <c r="H34" i="1"/>
  <c r="G25" i="1"/>
  <c r="F30" i="1"/>
  <c r="H25" i="1"/>
  <c r="G30" i="1"/>
  <c r="F29" i="1"/>
  <c r="F33" i="1"/>
  <c r="G26" i="1"/>
  <c r="G29" i="1"/>
  <c r="F27" i="1"/>
  <c r="G27" i="1"/>
  <c r="H35" i="1"/>
  <c r="F35" i="1"/>
  <c r="G35" i="1"/>
  <c r="F34" i="1"/>
  <c r="H33" i="1"/>
  <c r="G33" i="1"/>
  <c r="H38" i="1"/>
  <c r="G34" i="1"/>
  <c r="F37" i="1"/>
  <c r="H37" i="1"/>
  <c r="G38" i="1"/>
  <c r="G39" i="1"/>
  <c r="F38" i="1"/>
  <c r="G37" i="1"/>
  <c r="F39" i="1"/>
  <c r="H39" i="1"/>
  <c r="D38" i="1"/>
  <c r="F43" i="1"/>
  <c r="F41" i="1"/>
  <c r="H43" i="1"/>
  <c r="F42" i="1"/>
  <c r="H42" i="1"/>
  <c r="G43" i="1"/>
  <c r="G41" i="1"/>
  <c r="G42" i="1"/>
  <c r="H41" i="1"/>
  <c r="J32" i="1"/>
  <c r="K32" i="1"/>
  <c r="J30" i="1"/>
  <c r="K30" i="1"/>
  <c r="J31" i="1"/>
  <c r="K31" i="1"/>
  <c r="O25" i="1"/>
  <c r="O26" i="1"/>
  <c r="O24" i="1"/>
  <c r="O27" i="1"/>
</calcChain>
</file>

<file path=xl/sharedStrings.xml><?xml version="1.0" encoding="utf-8"?>
<sst xmlns="http://schemas.openxmlformats.org/spreadsheetml/2006/main" count="150" uniqueCount="70">
  <si>
    <t>cos  omega</t>
    <phoneticPr fontId="1" type="noConversion"/>
  </si>
  <si>
    <t>sin omega</t>
    <phoneticPr fontId="1" type="noConversion"/>
  </si>
  <si>
    <t>cos phi</t>
    <phoneticPr fontId="1" type="noConversion"/>
  </si>
  <si>
    <t>sin phi</t>
    <phoneticPr fontId="1" type="noConversion"/>
  </si>
  <si>
    <t>cos kappa</t>
    <phoneticPr fontId="1" type="noConversion"/>
  </si>
  <si>
    <t>sin kappa</t>
    <phoneticPr fontId="1" type="noConversion"/>
  </si>
  <si>
    <t>m11</t>
    <phoneticPr fontId="1" type="noConversion"/>
  </si>
  <si>
    <t>m12</t>
    <phoneticPr fontId="1" type="noConversion"/>
  </si>
  <si>
    <t>m13</t>
    <phoneticPr fontId="1" type="noConversion"/>
  </si>
  <si>
    <t>m21</t>
    <phoneticPr fontId="1" type="noConversion"/>
  </si>
  <si>
    <t>m22</t>
    <phoneticPr fontId="1" type="noConversion"/>
  </si>
  <si>
    <t>m23</t>
    <phoneticPr fontId="1" type="noConversion"/>
  </si>
  <si>
    <t>m31</t>
    <phoneticPr fontId="1" type="noConversion"/>
  </si>
  <si>
    <t>m32</t>
    <phoneticPr fontId="1" type="noConversion"/>
  </si>
  <si>
    <t>m33</t>
    <phoneticPr fontId="1" type="noConversion"/>
  </si>
  <si>
    <t>left</t>
    <phoneticPr fontId="1" type="noConversion"/>
  </si>
  <si>
    <t>right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</si>
  <si>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</si>
  <si>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</si>
  <si>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</si>
  <si>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U/W</t>
    <phoneticPr fontId="1" type="noConversion"/>
  </si>
  <si>
    <t>V/W</t>
    <phoneticPr fontId="1" type="noConversion"/>
  </si>
  <si>
    <t>kappa</t>
    <phoneticPr fontId="1" type="noConversion"/>
  </si>
  <si>
    <t>omega</t>
    <phoneticPr fontId="1" type="noConversion"/>
  </si>
  <si>
    <t>phi</t>
    <phoneticPr fontId="1" type="noConversion"/>
  </si>
  <si>
    <t>right</t>
    <phoneticPr fontId="1" type="noConversion"/>
  </si>
  <si>
    <t>Xc</t>
    <phoneticPr fontId="1" type="noConversion"/>
  </si>
  <si>
    <t>Yc</t>
    <phoneticPr fontId="1" type="noConversion"/>
  </si>
  <si>
    <t>Zc</t>
    <phoneticPr fontId="1" type="noConversion"/>
  </si>
  <si>
    <t>left</t>
    <phoneticPr fontId="1" type="noConversion"/>
  </si>
  <si>
    <t>Xj</t>
    <phoneticPr fontId="1" type="noConversion"/>
  </si>
  <si>
    <t>Yj</t>
    <phoneticPr fontId="1" type="noConversion"/>
  </si>
  <si>
    <t>Xj</t>
    <phoneticPr fontId="1" type="noConversion"/>
  </si>
  <si>
    <t>Yj</t>
    <phoneticPr fontId="1" type="noConversion"/>
  </si>
  <si>
    <t>Delta X</t>
    <phoneticPr fontId="1" type="noConversion"/>
  </si>
  <si>
    <t>Update</t>
    <phoneticPr fontId="1" type="noConversion"/>
  </si>
  <si>
    <t>Zj</t>
    <phoneticPr fontId="1" type="noConversion"/>
  </si>
  <si>
    <t>A-Matrix</t>
    <phoneticPr fontId="1" type="noConversion"/>
  </si>
  <si>
    <t>row1</t>
    <phoneticPr fontId="1" type="noConversion"/>
  </si>
  <si>
    <t>row2</t>
    <phoneticPr fontId="1" type="noConversion"/>
  </si>
  <si>
    <t>row3</t>
    <phoneticPr fontId="1" type="noConversion"/>
  </si>
  <si>
    <t>row4</t>
    <phoneticPr fontId="1" type="noConversion"/>
  </si>
  <si>
    <t>f</t>
    <phoneticPr fontId="1" type="noConversion"/>
  </si>
  <si>
    <t>P1</t>
    <phoneticPr fontId="1" type="noConversion"/>
  </si>
  <si>
    <t>P2</t>
    <phoneticPr fontId="1" type="noConversion"/>
  </si>
  <si>
    <t>A(T) P</t>
    <phoneticPr fontId="1" type="noConversion"/>
  </si>
  <si>
    <t>A(T) P A together</t>
    <phoneticPr fontId="1" type="noConversion"/>
  </si>
  <si>
    <t>A(T) P A 1</t>
    <phoneticPr fontId="1" type="noConversion"/>
  </si>
  <si>
    <t>A(T) P A 2</t>
    <phoneticPr fontId="1" type="noConversion"/>
  </si>
  <si>
    <t>Inverse - step1</t>
    <phoneticPr fontId="1" type="noConversion"/>
  </si>
  <si>
    <t>inverse</t>
    <phoneticPr fontId="1" type="noConversion"/>
  </si>
  <si>
    <t>det for inverse</t>
    <phoneticPr fontId="1" type="noConversion"/>
  </si>
  <si>
    <t>bx1</t>
    <phoneticPr fontId="1" type="noConversion"/>
  </si>
  <si>
    <t>by1</t>
    <phoneticPr fontId="1" type="noConversion"/>
  </si>
  <si>
    <t>bx2</t>
    <phoneticPr fontId="1" type="noConversion"/>
  </si>
  <si>
    <t>by2</t>
    <phoneticPr fontId="1" type="noConversion"/>
  </si>
  <si>
    <t>Observed Xj and Yj</t>
  </si>
  <si>
    <t>Camera Tilt</t>
    <phoneticPr fontId="1" type="noConversion"/>
  </si>
  <si>
    <t>Camera Position</t>
    <phoneticPr fontId="1" type="noConversion"/>
  </si>
  <si>
    <t>Principal Distance</t>
    <phoneticPr fontId="1" type="noConversion"/>
  </si>
  <si>
    <t>Calculated Xj and Yj</t>
    <phoneticPr fontId="1" type="noConversion"/>
  </si>
  <si>
    <t>Xj</t>
    <phoneticPr fontId="1" type="noConversion"/>
  </si>
  <si>
    <t>Yj</t>
    <phoneticPr fontId="1" type="noConversion"/>
  </si>
  <si>
    <t>left</t>
    <phoneticPr fontId="1" type="noConversion"/>
  </si>
  <si>
    <t>right</t>
    <phoneticPr fontId="1" type="noConversion"/>
  </si>
  <si>
    <t>v = A delta X - b</t>
    <phoneticPr fontId="1" type="noConversion"/>
  </si>
  <si>
    <t>A(T) P b</t>
    <phoneticPr fontId="1" type="noConversion"/>
  </si>
  <si>
    <t>delta X</t>
    <phoneticPr fontId="1" type="noConversion"/>
  </si>
  <si>
    <t>Update</t>
    <phoneticPr fontId="1" type="noConversion"/>
  </si>
  <si>
    <t>pixel size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</si>
</sst>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</cellXfs>
  <cellStyles count="5">
    <cellStyle name="普通" xfId="0" builtinId="0"/>
    <cellStyle name="访问过的超链接" xfId="2" builtinId="9" hidden="1"/>
    <cellStyle name="访问过的超链接" xfId="4" builtinId="9" hidden="1"/>
    <cellStyle name="超链接" xfId="1" builtinId="8" hidden="1"/>
    <cellStyle name="超链接" xfId="3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7"/>
  <sheetViews>
    <sheetView workbookViewId="0">
      <selection activeCell="H25" sqref="H25"/>
    </sheetView>
  </sheetViews>
  <sheetFormatPr baseColWidth="10" defaultColWidth="8.7109375" defaultRowHeight="12" x14ac:dyDescent="0"/>
  <cols>
    <col min="2" max="2" width="13" customWidth="1"/>
    <col min="3" max="3" width="16" customWidth="1"/>
    <col min="4" max="4" width="15.85546875" customWidth="1"/>
    <col min="6" max="7" width="13.140625" customWidth="1"/>
    <col min="8" max="8" width="13.85546875" customWidth="1"/>
    <col min="10" max="10" width="13.42578125" customWidth="1"/>
    <col min="11" max="11" width="14" customWidth="1"/>
    <col min="12" max="12" width="12.7109375" customWidth="1"/>
    <col min="13" max="13" width="11.7109375" customWidth="1"/>
    <col min="14" max="14" width="12.42578125" customWidth="1"/>
    <col min="15" max="15" width="13" customWidth="1"/>
  </cols>
  <sheetData>
    <row r="1" spans="2:15">
      <c r="J1" t="s">
        <v>34</v>
      </c>
      <c r="K1">
        <v>-0.32955050000000002</v>
      </c>
    </row>
    <row r="2" spans="2:15">
      <c r="K2">
        <v>4.912528</v>
      </c>
    </row>
    <row r="3" spans="2:15">
      <c r="K3">
        <v>-9.2967065000000009</v>
      </c>
    </row>
    <row r="5" spans="2:15">
      <c r="B5" s="4" t="s">
        <v>57</v>
      </c>
      <c r="F5" s="4" t="s">
        <v>58</v>
      </c>
      <c r="H5" s="4" t="s">
        <v>59</v>
      </c>
      <c r="M5" s="4" t="s">
        <v>56</v>
      </c>
    </row>
    <row r="6" spans="2:15">
      <c r="G6" s="2" t="s">
        <v>42</v>
      </c>
      <c r="H6" s="2">
        <v>120</v>
      </c>
    </row>
    <row r="7" spans="2:15">
      <c r="C7" t="s">
        <v>15</v>
      </c>
      <c r="D7" t="s">
        <v>25</v>
      </c>
      <c r="G7" t="s">
        <v>29</v>
      </c>
      <c r="H7" t="s">
        <v>25</v>
      </c>
      <c r="N7" t="s">
        <v>15</v>
      </c>
      <c r="O7" t="s">
        <v>25</v>
      </c>
    </row>
    <row r="8" spans="2:15">
      <c r="B8" s="2" t="s">
        <v>23</v>
      </c>
      <c r="C8" s="2">
        <v>-3.84147E-3</v>
      </c>
      <c r="D8" s="2">
        <v>1.3142329999999999E-3</v>
      </c>
      <c r="E8" s="2"/>
      <c r="F8" s="2" t="s">
        <v>26</v>
      </c>
      <c r="G8" s="2">
        <v>270502.48</v>
      </c>
      <c r="H8" s="2">
        <v>270675.33</v>
      </c>
      <c r="J8" t="s">
        <v>30</v>
      </c>
      <c r="K8" s="3">
        <v>270558.5</v>
      </c>
      <c r="M8" s="2" t="s">
        <v>32</v>
      </c>
      <c r="N8" s="2">
        <v>5.843</v>
      </c>
      <c r="O8" s="2">
        <v>-18.27</v>
      </c>
    </row>
    <row r="9" spans="2:15">
      <c r="B9" s="2" t="s">
        <v>24</v>
      </c>
      <c r="C9" s="2">
        <v>-1.0250319000000001E-2</v>
      </c>
      <c r="D9" s="2">
        <v>-1.1185815E-2</v>
      </c>
      <c r="E9" s="2"/>
      <c r="F9" s="2" t="s">
        <v>27</v>
      </c>
      <c r="G9" s="2">
        <v>6150490.1200000001</v>
      </c>
      <c r="H9" s="2">
        <v>6150489.7199999997</v>
      </c>
      <c r="J9" t="s">
        <v>31</v>
      </c>
      <c r="K9" s="3">
        <v>6150914.8399999999</v>
      </c>
      <c r="M9" s="2" t="s">
        <v>33</v>
      </c>
      <c r="N9" s="2">
        <v>61.642000000000003</v>
      </c>
      <c r="O9" s="2">
        <v>60.859000000000002</v>
      </c>
    </row>
    <row r="10" spans="2:15">
      <c r="B10" s="2" t="s">
        <v>22</v>
      </c>
      <c r="C10" s="2">
        <v>-1.3720033E-2</v>
      </c>
      <c r="D10" s="2">
        <v>-4.6268680000000001E-3</v>
      </c>
      <c r="E10" s="2"/>
      <c r="F10" s="2" t="s">
        <v>28</v>
      </c>
      <c r="G10" s="2">
        <v>1045.17</v>
      </c>
      <c r="H10" s="2">
        <v>1045.55</v>
      </c>
      <c r="J10" t="s">
        <v>36</v>
      </c>
      <c r="K10" s="3">
        <v>209.47</v>
      </c>
    </row>
    <row r="12" spans="2:15">
      <c r="J12" t="s">
        <v>69</v>
      </c>
      <c r="K12" s="3">
        <v>5.0000000000000001E-3</v>
      </c>
      <c r="M12" t="s">
        <v>60</v>
      </c>
    </row>
    <row r="13" spans="2:15">
      <c r="C13" t="s">
        <v>15</v>
      </c>
      <c r="D13" t="s">
        <v>16</v>
      </c>
      <c r="N13" t="s">
        <v>63</v>
      </c>
      <c r="O13" t="s">
        <v>64</v>
      </c>
    </row>
    <row r="14" spans="2:15">
      <c r="B14" t="s">
        <v>0</v>
      </c>
      <c r="C14">
        <f>COS(C8)</f>
        <v>0.99999262156319313</v>
      </c>
      <c r="D14">
        <f>COS(D8)</f>
        <v>0.99999913639593518</v>
      </c>
      <c r="F14" t="s">
        <v>17</v>
      </c>
      <c r="G14">
        <f>SUM(PRODUCT(C24, SUM(K8,PRODUCT(G8,-1))), PRODUCT(C25, SUM(K9,PRODUCT(G9,-1))), PRODUCT(C26, SUM(K10,PRODUCT(G10,-1))))</f>
        <v>41.592343881857289</v>
      </c>
      <c r="H14">
        <f>SUM(PRODUCT(D24, SUM(K8,PRODUCT(H8,-1))), PRODUCT(D25, SUM(K9,PRODUCT(H9,-1))), PRODUCT(D26, SUM(K10,PRODUCT(H10,-1))))</f>
        <v>-128.14150438008221</v>
      </c>
      <c r="J14" t="s">
        <v>43</v>
      </c>
      <c r="K14">
        <f xml:space="preserve"> 1 / (K12 * K12)</f>
        <v>40000</v>
      </c>
      <c r="M14" t="s">
        <v>61</v>
      </c>
      <c r="N14">
        <f xml:space="preserve"> - G17 * H6</f>
        <v>5.98026001954603</v>
      </c>
      <c r="O14">
        <f xml:space="preserve"> - H17 * H6</f>
        <v>-18.409398069260607</v>
      </c>
    </row>
    <row r="15" spans="2:15">
      <c r="B15" t="s">
        <v>1</v>
      </c>
      <c r="C15">
        <f>SIN(C8)</f>
        <v>-3.8414605519808058E-3</v>
      </c>
      <c r="D15">
        <f>SIN(D8)</f>
        <v>1.3142326216743245E-3</v>
      </c>
      <c r="F15" t="s">
        <v>18</v>
      </c>
      <c r="G15">
        <f>SUM(PRODUCT(C27, SUM(K8,PRODUCT(G8,-1))), PRODUCT(C28, SUM(K9,PRODUCT(G9,-1))), PRODUCT(C29, SUM(K10,PRODUCT(G10,-1))))</f>
        <v>428.53813846913948</v>
      </c>
      <c r="H15">
        <f>SUM(PRODUCT(D27, SUM(K8,PRODUCT(H8,-1))), PRODUCT(D28, SUM(K9,PRODUCT(H9,-1))), PRODUCT(D29, SUM(K10,PRODUCT(H10,-1))))</f>
        <v>423.43246993725444</v>
      </c>
      <c r="J15" t="s">
        <v>44</v>
      </c>
      <c r="K15">
        <f xml:space="preserve"> 1/(K12*K12)</f>
        <v>40000</v>
      </c>
      <c r="M15" t="s">
        <v>62</v>
      </c>
      <c r="N15">
        <f xml:space="preserve"> - G18 * H6</f>
        <v>61.61637592767557</v>
      </c>
      <c r="O15">
        <f xml:space="preserve"> - H18 * H6</f>
        <v>60.832256748007921</v>
      </c>
    </row>
    <row r="16" spans="2:15">
      <c r="F16" t="s">
        <v>19</v>
      </c>
      <c r="G16">
        <f>SUM(PRODUCT(C30, SUM(K8,PRODUCT(G8,-1))), PRODUCT(C31, SUM(K9,PRODUCT(G9,-1))), PRODUCT(C32, SUM(K10,PRODUCT(G10,-1))))</f>
        <v>-834.59268485147811</v>
      </c>
      <c r="H16">
        <f>SUM(PRODUCT(D30, SUM(K8,PRODUCT(H8,-1))), PRODUCT(D31, SUM(K9,PRODUCT(H9,-1))), PRODUCT(D32, SUM(K10,PRODUCT(H10,-1))))</f>
        <v>-835.2788324614387</v>
      </c>
    </row>
    <row r="17" spans="2:15">
      <c r="B17" t="s">
        <v>2</v>
      </c>
      <c r="C17">
        <f>COS(C9)</f>
        <v>0.99994746594017681</v>
      </c>
      <c r="D17">
        <f>COS(D9)</f>
        <v>0.99993743942370805</v>
      </c>
      <c r="F17" t="s">
        <v>20</v>
      </c>
      <c r="G17">
        <f xml:space="preserve"> G14 / G16</f>
        <v>-4.9835500162883586E-2</v>
      </c>
      <c r="H17">
        <f xml:space="preserve"> H14 / H16</f>
        <v>0.15341165057717174</v>
      </c>
    </row>
    <row r="18" spans="2:15">
      <c r="B18" t="s">
        <v>3</v>
      </c>
      <c r="C18">
        <f>SIN(C9)</f>
        <v>-1.0250139502414162E-2</v>
      </c>
      <c r="D18">
        <f>SIN(D9)</f>
        <v>-1.1185581735349547E-2</v>
      </c>
      <c r="F18" t="s">
        <v>21</v>
      </c>
      <c r="G18">
        <f xml:space="preserve"> G15 / G16</f>
        <v>-0.51346979939729642</v>
      </c>
      <c r="H18">
        <f xml:space="preserve"> H15 / H16</f>
        <v>-0.50693547290006602</v>
      </c>
    </row>
    <row r="19" spans="2:15">
      <c r="G19" t="s">
        <v>37</v>
      </c>
      <c r="K19" t="s">
        <v>45</v>
      </c>
    </row>
    <row r="20" spans="2:15">
      <c r="B20" t="s">
        <v>4</v>
      </c>
      <c r="C20">
        <f>COS(C10)</f>
        <v>0.99990588182364837</v>
      </c>
      <c r="D20">
        <f>COS(D10)</f>
        <v>0.99998929606535103</v>
      </c>
      <c r="E20" s="1" t="s">
        <v>38</v>
      </c>
      <c r="F20">
        <f xml:space="preserve"> - (H6 / G16) * (C24 - (G14 / G16) * C30)</f>
        <v>0.14368817987767049</v>
      </c>
      <c r="G20">
        <f xml:space="preserve"> - (H6 / G16) * (C25 - (G14 / G16) * C31)</f>
        <v>-1.939441654837693E-3</v>
      </c>
      <c r="H20">
        <f xml:space="preserve"> - (H6 / G16) * (C26 - (G14 / G16) * C32)</f>
        <v>8.646275190986737E-3</v>
      </c>
      <c r="J20">
        <f xml:space="preserve"> F20 * K14</f>
        <v>5747.5271951068198</v>
      </c>
      <c r="K20">
        <f xml:space="preserve"> F21 * K15</f>
        <v>48.631596583647116</v>
      </c>
      <c r="L20">
        <f xml:space="preserve"> F22 * K14</f>
        <v>5756.0241440163982</v>
      </c>
      <c r="M20">
        <f xml:space="preserve"> F23 * K15</f>
        <v>-5.9983196595612238</v>
      </c>
    </row>
    <row r="21" spans="2:15">
      <c r="B21" t="s">
        <v>5</v>
      </c>
      <c r="C21">
        <f>SIN(C10)</f>
        <v>-1.3719602562470675E-2</v>
      </c>
      <c r="D21">
        <f>SIN(D10)</f>
        <v>-4.6268514914239861E-3</v>
      </c>
      <c r="E21" s="1" t="s">
        <v>39</v>
      </c>
      <c r="F21">
        <f xml:space="preserve"> - (H6 / G16) * (C27 - (G15 / G16) * C30)</f>
        <v>1.2157899145911779E-3</v>
      </c>
      <c r="G21">
        <f xml:space="preserve"> - (H6 / G16) * (C28 - (G15 / G16) * C31)</f>
        <v>0.14405178950249192</v>
      </c>
      <c r="H21">
        <f xml:space="preserve"> - (H6 / G16) * (C29 - (G15 / G16) * C32)</f>
        <v>7.3291593380969508E-2</v>
      </c>
      <c r="J21">
        <f xml:space="preserve"> G20 * K14</f>
        <v>-77.577666193507724</v>
      </c>
      <c r="K21">
        <f xml:space="preserve"> G21 * K15</f>
        <v>5762.0715800996768</v>
      </c>
      <c r="L21">
        <f xml:space="preserve"> G22 * K14</f>
        <v>-25.514498717152733</v>
      </c>
      <c r="M21">
        <f xml:space="preserve"> G23 * K15</f>
        <v>5742.6888526012535</v>
      </c>
    </row>
    <row r="22" spans="2:15">
      <c r="E22" s="1" t="s">
        <v>40</v>
      </c>
      <c r="F22">
        <f xml:space="preserve"> - (H6 / H16) * (D24 - (H14 / H16) * D30)</f>
        <v>0.14390060360040996</v>
      </c>
      <c r="G22">
        <f xml:space="preserve"> - (H6 / H16) * (D25 - (H14 / H16) * D31)</f>
        <v>-6.3786246792881831E-4</v>
      </c>
      <c r="H22">
        <f xml:space="preserve"> - (H6 / H16) * (D26 - (H14 / H16) * D32)</f>
        <v>-2.043234572170631E-2</v>
      </c>
      <c r="J22">
        <f xml:space="preserve"> H20 * K14</f>
        <v>345.85100763946946</v>
      </c>
      <c r="K22">
        <f>H21 * K15</f>
        <v>2931.6637352387802</v>
      </c>
      <c r="L22">
        <f xml:space="preserve"> H22 * K14</f>
        <v>-817.29382886825238</v>
      </c>
      <c r="M22">
        <f>H23 * K15</f>
        <v>2920.8122054161249</v>
      </c>
    </row>
    <row r="23" spans="2:15">
      <c r="E23" s="1" t="s">
        <v>41</v>
      </c>
      <c r="F23">
        <f xml:space="preserve"> - (H6 / H16) * (D27 - (H15 / H16) * D30)</f>
        <v>-1.4995799148903059E-4</v>
      </c>
      <c r="G23">
        <f xml:space="preserve"> - (H6 / H16) * (D28 - (H15 / H16) * D31)</f>
        <v>0.14356722131503133</v>
      </c>
      <c r="H23">
        <f xml:space="preserve"> - (H6 / H16) * (D29 - (H15 / H16) * D32)</f>
        <v>7.3020305135403127E-2</v>
      </c>
      <c r="O23" s="4" t="s">
        <v>65</v>
      </c>
    </row>
    <row r="24" spans="2:15">
      <c r="B24" t="s">
        <v>6</v>
      </c>
      <c r="C24">
        <f>C17*C20</f>
        <v>0.99985335270823505</v>
      </c>
      <c r="D24">
        <f>D17 * D20</f>
        <v>0.99992673615870342</v>
      </c>
      <c r="G24" t="s">
        <v>47</v>
      </c>
      <c r="J24" t="s">
        <v>66</v>
      </c>
      <c r="M24" t="s">
        <v>52</v>
      </c>
      <c r="N24">
        <f xml:space="preserve"> N8 - N14</f>
        <v>-0.13726001954603007</v>
      </c>
      <c r="O24">
        <f xml:space="preserve"> F20 * J30 + G20 * J31 + H20 * J32 - N24</f>
        <v>-1.9117581405159179E-6</v>
      </c>
    </row>
    <row r="25" spans="2:15">
      <c r="B25" t="s">
        <v>7</v>
      </c>
      <c r="C25">
        <f>C14 * C21 + C15 * C18 * C20</f>
        <v>-1.3680129532650197E-2</v>
      </c>
      <c r="D25">
        <f>D14 * D21 + D15 * D18 * D20</f>
        <v>-4.6415477947125078E-3</v>
      </c>
      <c r="F25">
        <f>J20 * F20 + K20 * F21</f>
        <v>825.91084726696852</v>
      </c>
      <c r="G25">
        <f>J20 * G20 + K20 * G21</f>
        <v>-4.1415251402649744</v>
      </c>
      <c r="H25">
        <f>J20 * H20 + K20 * H21</f>
        <v>53.258988998849695</v>
      </c>
      <c r="J25">
        <f xml:space="preserve"> J20 * N24 + K20 * N25 + L20 * N26 + M20 * N27</f>
        <v>14.558682125554643</v>
      </c>
      <c r="M25" t="s">
        <v>53</v>
      </c>
      <c r="N25">
        <f xml:space="preserve"> N9 - N15</f>
        <v>2.56240723244332E-2</v>
      </c>
      <c r="O25">
        <f xml:space="preserve"> F21 * J30 + G21 * J31 + H21 * J32 - N25</f>
        <v>2.632737177237221E-4</v>
      </c>
    </row>
    <row r="26" spans="2:15">
      <c r="B26" t="s">
        <v>8</v>
      </c>
      <c r="C26">
        <f>C15 * C21 - C14 * C18 * C20</f>
        <v>1.0301802467121011E-2</v>
      </c>
      <c r="D26">
        <f>D15 * D21 - D14 * D18 * D20</f>
        <v>1.1179371586637515E-2</v>
      </c>
      <c r="F26">
        <f>J21 * F20 + K21 * F21</f>
        <v>-4.1415251402649744</v>
      </c>
      <c r="G26">
        <f>J21 * G20 + K21 * G21</f>
        <v>830.18717971211038</v>
      </c>
      <c r="H26">
        <f>J21 * H20 + K21 * H21</f>
        <v>421.64064943012238</v>
      </c>
      <c r="J26">
        <f xml:space="preserve"> J21 * N24 + K21 * N25 + L21 * N26 + M21 * N27</f>
        <v>308.31755412299378</v>
      </c>
      <c r="M26" t="s">
        <v>54</v>
      </c>
      <c r="N26">
        <f xml:space="preserve"> O8 - O14</f>
        <v>0.13939806926060783</v>
      </c>
      <c r="O26">
        <f xml:space="preserve"> F22 * J30 + G22 * J31 + H22 * J32 - N26</f>
        <v>-5.9072719837960364E-7</v>
      </c>
    </row>
    <row r="27" spans="2:15">
      <c r="B27" t="s">
        <v>9</v>
      </c>
      <c r="C27">
        <f xml:space="preserve"> - C17 * C21</f>
        <v>1.3718881816048908E-2</v>
      </c>
      <c r="D27">
        <f xml:space="preserve"> - D17 * D21</f>
        <v>4.626562032928265E-3</v>
      </c>
      <c r="F27">
        <f>J22 * F20 + K22 * F21</f>
        <v>53.258988998849695</v>
      </c>
      <c r="G27">
        <f>J22 * G20 + K22 * G21</f>
        <v>421.64064943012238</v>
      </c>
      <c r="H27">
        <f>J22 * H20 + K22 * H21</f>
        <v>217.85662939998582</v>
      </c>
      <c r="J27">
        <f xml:space="preserve"> J22 * N24 + K22 * N25 + L22 * N26 + M22 * N27</f>
        <v>-8.1675174177881331</v>
      </c>
      <c r="M27" t="s">
        <v>55</v>
      </c>
      <c r="N27">
        <f xml:space="preserve"> O9 - O15</f>
        <v>2.6743251992080275E-2</v>
      </c>
      <c r="O27">
        <f xml:space="preserve"> F23 * J30 + G23 * J31 + H23 * J32 - N27</f>
        <v>-2.6419076977124423E-4</v>
      </c>
    </row>
    <row r="28" spans="2:15">
      <c r="B28" t="s">
        <v>10</v>
      </c>
      <c r="C28">
        <f xml:space="preserve"> C14 * C20 - C15 * C18 * C21</f>
        <v>0.99989904429758714</v>
      </c>
      <c r="D28">
        <f xml:space="preserve"> D14 * D20 - D15 * D18 * D21</f>
        <v>0.99998836445370154</v>
      </c>
      <c r="G28" t="s">
        <v>48</v>
      </c>
    </row>
    <row r="29" spans="2:15">
      <c r="B29" t="s">
        <v>11</v>
      </c>
      <c r="C29">
        <f xml:space="preserve"> C15 * C20 + C14 * C18 * C21</f>
        <v>-3.7004721981497555E-3</v>
      </c>
      <c r="D29">
        <f xml:space="preserve"> D15 * D20 + D14 * D18 * D21</f>
        <v>1.3659725350538888E-3</v>
      </c>
      <c r="F29">
        <f>L20 * F22 + M20 * F23</f>
        <v>828.29624815846125</v>
      </c>
      <c r="G29">
        <f>L20 * G22 + M20 * G23</f>
        <v>-4.5327138520426935</v>
      </c>
      <c r="H29">
        <f>L20 * H22 + M20 * H23</f>
        <v>-118.04707442487253</v>
      </c>
      <c r="J29" s="4" t="s">
        <v>67</v>
      </c>
      <c r="K29" s="4" t="s">
        <v>68</v>
      </c>
    </row>
    <row r="30" spans="2:15">
      <c r="B30" t="s">
        <v>12</v>
      </c>
      <c r="C30">
        <f>C18</f>
        <v>-1.0250139502414162E-2</v>
      </c>
      <c r="D30">
        <f>D18</f>
        <v>-1.1185581735349547E-2</v>
      </c>
      <c r="F30">
        <f>L21 * F22 + M21 * F23</f>
        <v>-4.5327138520426935</v>
      </c>
      <c r="G30">
        <f>L21 * G22 + M21 * G23</f>
        <v>824.4781561858872</v>
      </c>
      <c r="H30">
        <f>L21 * H22 + M21 * H23</f>
        <v>419.8542133733265</v>
      </c>
      <c r="J30">
        <f xml:space="preserve"> F41 * J25 + G41 * J26 + H41 * J27</f>
        <v>-0.32955040737203334</v>
      </c>
      <c r="K30">
        <f xml:space="preserve"> K8 + J30</f>
        <v>270558.17044959264</v>
      </c>
    </row>
    <row r="31" spans="2:15">
      <c r="B31" t="s">
        <v>13</v>
      </c>
      <c r="C31">
        <f xml:space="preserve"> - C15 * C17</f>
        <v>3.8412587444623596E-3</v>
      </c>
      <c r="D31">
        <f xml:space="preserve"> - D15 * D17</f>
        <v>-1.3141504025241308E-3</v>
      </c>
      <c r="F31">
        <f>L22 * F22 + M22 * F23</f>
        <v>-118.04707442487253</v>
      </c>
      <c r="G31">
        <f>L22 * G22 + M22 * G23</f>
        <v>419.85421337332644</v>
      </c>
      <c r="H31">
        <f>L22 * H22 + M22 * H23</f>
        <v>229.97782855034842</v>
      </c>
      <c r="J31">
        <f xml:space="preserve"> F42 * J25 + G42 * J26 + H42 * J27</f>
        <v>4.9125273713891868</v>
      </c>
      <c r="K31">
        <f xml:space="preserve"> K9 + J31</f>
        <v>6150919.752527371</v>
      </c>
    </row>
    <row r="32" spans="2:15">
      <c r="B32" t="s">
        <v>14</v>
      </c>
      <c r="C32">
        <f xml:space="preserve"> C14 * C17</f>
        <v>0.9999400878909892</v>
      </c>
      <c r="D32">
        <f xml:space="preserve"> D14 * D17</f>
        <v>0.9999365758736708</v>
      </c>
      <c r="G32" t="s">
        <v>46</v>
      </c>
      <c r="J32">
        <f xml:space="preserve"> F43 * J25 + G43 * J26 + H43 * J27</f>
        <v>-9.2967053558657753</v>
      </c>
      <c r="K32">
        <f xml:space="preserve"> K10 + J32</f>
        <v>200.17329464413422</v>
      </c>
    </row>
    <row r="33" spans="3:8">
      <c r="F33">
        <f t="shared" ref="F33:H35" si="0">F25 + F29</f>
        <v>1654.2070954254298</v>
      </c>
      <c r="G33">
        <f t="shared" si="0"/>
        <v>-8.6742389923076679</v>
      </c>
      <c r="H33">
        <f t="shared" si="0"/>
        <v>-64.788085426022832</v>
      </c>
    </row>
    <row r="34" spans="3:8">
      <c r="F34">
        <f t="shared" si="0"/>
        <v>-8.6742389923076679</v>
      </c>
      <c r="G34">
        <f t="shared" si="0"/>
        <v>1654.6653358979975</v>
      </c>
      <c r="H34">
        <f t="shared" si="0"/>
        <v>841.49486280344888</v>
      </c>
    </row>
    <row r="35" spans="3:8">
      <c r="F35">
        <f t="shared" si="0"/>
        <v>-64.788085426022832</v>
      </c>
      <c r="G35">
        <f t="shared" si="0"/>
        <v>841.49486280344877</v>
      </c>
      <c r="H35">
        <f t="shared" si="0"/>
        <v>447.83445795033424</v>
      </c>
    </row>
    <row r="36" spans="3:8">
      <c r="G36" t="s">
        <v>49</v>
      </c>
    </row>
    <row r="37" spans="3:8">
      <c r="F37">
        <f xml:space="preserve"> G34 * H35-G35 * H34</f>
        <v>32902.549666492268</v>
      </c>
      <c r="G37">
        <f>H33 * G35 - H35 * G33</f>
        <v>-50634.21793961744</v>
      </c>
      <c r="H37">
        <f xml:space="preserve"> G33 * H34 - G34 * H33</f>
        <v>99903.271582881964</v>
      </c>
    </row>
    <row r="38" spans="3:8">
      <c r="C38" t="s">
        <v>51</v>
      </c>
      <c r="D38">
        <f xml:space="preserve"> F33 * F37 + G33 * F38 + H33 * F39</f>
        <v>48394302.729845032</v>
      </c>
      <c r="F38">
        <f xml:space="preserve"> H34 * F35 - H35 * F34</f>
        <v>-50634.217939617454</v>
      </c>
      <c r="G38">
        <f xml:space="preserve"> F33 * H35 - F35 * H33</f>
        <v>736613.44190427451</v>
      </c>
      <c r="H38">
        <f xml:space="preserve"> H33 * F34 - H34 * F33</f>
        <v>-1391444.7854766743</v>
      </c>
    </row>
    <row r="39" spans="3:8">
      <c r="F39">
        <f xml:space="preserve"> F34 * G35 - F35 * G34</f>
        <v>99903.271582881964</v>
      </c>
      <c r="G39">
        <f xml:space="preserve"> G33 * F35 - G35 * F33</f>
        <v>-1391444.7854766741</v>
      </c>
      <c r="H39">
        <f xml:space="preserve"> F33 * G34 - F34 * G33</f>
        <v>2737083.8967748741</v>
      </c>
    </row>
    <row r="40" spans="3:8">
      <c r="G40" t="s">
        <v>50</v>
      </c>
    </row>
    <row r="41" spans="3:8">
      <c r="F41">
        <f xml:space="preserve"> F37 / D38</f>
        <v>6.7988477590361237E-4</v>
      </c>
      <c r="G41">
        <f xml:space="preserve"> G37 / D38</f>
        <v>-1.0462846881434877E-3</v>
      </c>
      <c r="H41">
        <f xml:space="preserve"> H37 / D38</f>
        <v>2.0643601818292356E-3</v>
      </c>
    </row>
    <row r="42" spans="3:8">
      <c r="F42">
        <f xml:space="preserve"> F38 / D38</f>
        <v>-1.0462846881434879E-3</v>
      </c>
      <c r="G42">
        <f xml:space="preserve"> G38 / D38</f>
        <v>1.5221077696197511E-2</v>
      </c>
      <c r="H42">
        <f xml:space="preserve"> H38 / D38</f>
        <v>-2.8752243693730556E-2</v>
      </c>
    </row>
    <row r="43" spans="3:8">
      <c r="F43">
        <f xml:space="preserve"> F39 / D38</f>
        <v>2.0643601818292356E-3</v>
      </c>
      <c r="G43">
        <f xml:space="preserve"> G39 / D38</f>
        <v>-2.8752243693730552E-2</v>
      </c>
      <c r="H43">
        <f xml:space="preserve"> H39 / D38</f>
        <v>5.6557977744907138E-2</v>
      </c>
    </row>
    <row r="44" spans="3:8">
      <c r="C44" t="s">
        <v>34</v>
      </c>
      <c r="D44" t="s">
        <v>35</v>
      </c>
    </row>
    <row r="45" spans="3:8">
      <c r="D45">
        <v>270558.17</v>
      </c>
    </row>
    <row r="46" spans="3:8">
      <c r="D46">
        <v>6150919.75</v>
      </c>
    </row>
    <row r="47" spans="3:8">
      <c r="D47">
        <v>200.17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7"/>
  <sheetViews>
    <sheetView tabSelected="1" topLeftCell="E1" workbookViewId="0">
      <selection activeCell="M38" sqref="M38"/>
    </sheetView>
  </sheetViews>
  <sheetFormatPr baseColWidth="10" defaultColWidth="8.7109375" defaultRowHeight="12" x14ac:dyDescent="0"/>
  <cols>
    <col min="2" max="2" width="13" customWidth="1"/>
    <col min="3" max="3" width="16" customWidth="1"/>
    <col min="4" max="4" width="15.85546875" customWidth="1"/>
    <col min="6" max="7" width="13.140625" customWidth="1"/>
    <col min="8" max="8" width="13.85546875" customWidth="1"/>
    <col min="10" max="10" width="13.42578125" customWidth="1"/>
    <col min="11" max="11" width="14" customWidth="1"/>
    <col min="12" max="12" width="12.7109375" customWidth="1"/>
    <col min="13" max="13" width="11.7109375" customWidth="1"/>
    <col min="14" max="14" width="12.42578125" customWidth="1"/>
    <col min="15" max="15" width="13" customWidth="1"/>
  </cols>
  <sheetData>
    <row r="1" spans="2:15">
      <c r="J1" t="s">
        <v>34</v>
      </c>
      <c r="K1">
        <v>-0.32955050000000002</v>
      </c>
    </row>
    <row r="2" spans="2:15">
      <c r="K2">
        <v>4.912528</v>
      </c>
    </row>
    <row r="3" spans="2:15">
      <c r="K3">
        <v>-9.2967065000000009</v>
      </c>
    </row>
    <row r="5" spans="2:15">
      <c r="B5" s="4" t="s">
        <v>57</v>
      </c>
      <c r="F5" s="4" t="s">
        <v>58</v>
      </c>
      <c r="H5" s="4" t="s">
        <v>59</v>
      </c>
      <c r="M5" s="4" t="s">
        <v>56</v>
      </c>
    </row>
    <row r="6" spans="2:15">
      <c r="G6" s="2" t="s">
        <v>42</v>
      </c>
      <c r="H6" s="2">
        <v>120</v>
      </c>
    </row>
    <row r="7" spans="2:15">
      <c r="C7" t="s">
        <v>15</v>
      </c>
      <c r="D7" t="s">
        <v>16</v>
      </c>
      <c r="G7" t="s">
        <v>15</v>
      </c>
      <c r="H7" t="s">
        <v>16</v>
      </c>
      <c r="N7" t="s">
        <v>15</v>
      </c>
      <c r="O7" t="s">
        <v>16</v>
      </c>
    </row>
    <row r="8" spans="2:15">
      <c r="B8" s="2" t="s">
        <v>23</v>
      </c>
      <c r="C8" s="2">
        <f>-0.0865*3.1415926/180</f>
        <v>-1.5097097772222223E-3</v>
      </c>
      <c r="D8" s="2">
        <f>-0.2078*3.1415926/180</f>
        <v>-3.626794123777778E-3</v>
      </c>
      <c r="E8" s="2"/>
      <c r="F8" s="2" t="s">
        <v>26</v>
      </c>
      <c r="G8" s="2">
        <v>270329.5637</v>
      </c>
      <c r="H8" s="2">
        <v>270502.48220000003</v>
      </c>
      <c r="J8" t="s">
        <v>30</v>
      </c>
      <c r="K8" s="3">
        <v>270403.696</v>
      </c>
      <c r="M8" s="2" t="s">
        <v>30</v>
      </c>
      <c r="N8" s="2">
        <v>8.4979999999999993</v>
      </c>
      <c r="O8" s="2">
        <v>-15.986700000000001</v>
      </c>
    </row>
    <row r="9" spans="2:15">
      <c r="B9" s="2" t="s">
        <v>24</v>
      </c>
      <c r="C9" s="2">
        <f>-0.7131*3.1415926/180</f>
        <v>-1.2445942683666665E-2</v>
      </c>
      <c r="D9" s="2">
        <f>-0.5919*3.1415926/180</f>
        <v>-1.0330603666333333E-2</v>
      </c>
      <c r="E9" s="2"/>
      <c r="F9" s="2" t="s">
        <v>27</v>
      </c>
      <c r="G9" s="2">
        <v>6150490.4232999999</v>
      </c>
      <c r="H9" s="2">
        <v>6150489.9978999998</v>
      </c>
      <c r="J9" t="s">
        <v>31</v>
      </c>
      <c r="K9" s="3">
        <v>6150981.3934000004</v>
      </c>
      <c r="M9" s="2" t="s">
        <v>31</v>
      </c>
      <c r="N9" s="2">
        <v>68.557900000000004</v>
      </c>
      <c r="O9" s="2">
        <v>68.860900000000001</v>
      </c>
    </row>
    <row r="10" spans="2:15">
      <c r="B10" s="2" t="s">
        <v>22</v>
      </c>
      <c r="C10" s="2">
        <f>-0.2748*3.1415926/180</f>
        <v>-4.7961647026666665E-3</v>
      </c>
      <c r="D10" s="2">
        <f>-0.7856*3.1415926/180</f>
        <v>-1.3711306369777779E-2</v>
      </c>
      <c r="E10" s="2"/>
      <c r="F10" s="2" t="s">
        <v>28</v>
      </c>
      <c r="G10" s="2">
        <v>1045.0818999999999</v>
      </c>
      <c r="H10" s="2">
        <v>1045.0277000000001</v>
      </c>
      <c r="J10" t="s">
        <v>36</v>
      </c>
      <c r="K10" s="3">
        <v>183.0575</v>
      </c>
    </row>
    <row r="12" spans="2:15">
      <c r="J12" t="s">
        <v>69</v>
      </c>
      <c r="K12" s="3">
        <v>6.0000000000000001E-3</v>
      </c>
      <c r="M12" t="s">
        <v>60</v>
      </c>
    </row>
    <row r="13" spans="2:15">
      <c r="C13" t="s">
        <v>15</v>
      </c>
      <c r="D13" t="s">
        <v>16</v>
      </c>
      <c r="N13" t="s">
        <v>15</v>
      </c>
      <c r="O13" t="s">
        <v>16</v>
      </c>
    </row>
    <row r="14" spans="2:15">
      <c r="B14" t="s">
        <v>0</v>
      </c>
      <c r="C14">
        <f>COS(C8)</f>
        <v>0.99999886038841068</v>
      </c>
      <c r="D14">
        <f>COS(D8)</f>
        <v>0.99999342318940099</v>
      </c>
      <c r="F14" t="s">
        <v>17</v>
      </c>
      <c r="G14">
        <f>SUM(PRODUCT(C24, SUM(K8,PRODUCT(G8,-1))), PRODUCT(C25, SUM(K9,PRODUCT(G9,-1))), PRODUCT(C26, SUM(K10,PRODUCT(G10,-1))))</f>
        <v>61.045633602150723</v>
      </c>
      <c r="H14">
        <f>SUM(PRODUCT(D24, SUM(K8,PRODUCT(H8,-1))), PRODUCT(D25, SUM(K9,PRODUCT(H9,-1))), PRODUCT(D26, SUM(K10,PRODUCT(H10,-1))))</f>
        <v>-114.43713455740773</v>
      </c>
      <c r="J14" t="s">
        <v>43</v>
      </c>
      <c r="K14">
        <f xml:space="preserve"> 1 / (K12 * K12)</f>
        <v>27777.777777777777</v>
      </c>
      <c r="M14" t="s">
        <v>30</v>
      </c>
      <c r="N14">
        <f xml:space="preserve"> - G17 * H6</f>
        <v>8.4968706641122829</v>
      </c>
      <c r="O14">
        <f xml:space="preserve"> - H17 * H6</f>
        <v>-15.984403819435713</v>
      </c>
    </row>
    <row r="15" spans="2:15">
      <c r="B15" t="s">
        <v>1</v>
      </c>
      <c r="C15">
        <f>SIN(C8)</f>
        <v>-1.5097092037279259E-3</v>
      </c>
      <c r="D15">
        <f>SIN(D8)</f>
        <v>-3.6267861728616138E-3</v>
      </c>
      <c r="F15" t="s">
        <v>18</v>
      </c>
      <c r="G15">
        <f>SUM(PRODUCT(C27, SUM(K8,PRODUCT(G8,-1))), PRODUCT(C28, SUM(K9,PRODUCT(G9,-1))), PRODUCT(C29, SUM(K10,PRODUCT(G10,-1))))</f>
        <v>492.56939577072194</v>
      </c>
      <c r="H15">
        <f>SUM(PRODUCT(D27, SUM(K8,PRODUCT(H8,-1))), PRODUCT(D28, SUM(K9,PRODUCT(H9,-1))), PRODUCT(D29, SUM(K10,PRODUCT(H10,-1))))</f>
        <v>492.99575719634873</v>
      </c>
      <c r="J15" t="s">
        <v>44</v>
      </c>
      <c r="K15">
        <f xml:space="preserve"> 1/(K12*K12)</f>
        <v>27777.777777777777</v>
      </c>
      <c r="M15" t="s">
        <v>31</v>
      </c>
      <c r="N15">
        <f xml:space="preserve"> - G18 * H6</f>
        <v>68.560160686354251</v>
      </c>
      <c r="O15">
        <f xml:space="preserve"> - H18 * H6</f>
        <v>68.860892880376781</v>
      </c>
    </row>
    <row r="16" spans="2:15">
      <c r="F16" t="s">
        <v>19</v>
      </c>
      <c r="G16">
        <f>SUM(PRODUCT(C30, SUM(K8,PRODUCT(G8,-1))), PRODUCT(C31, SUM(K9,PRODUCT(G9,-1))), PRODUCT(C32, SUM(K10,PRODUCT(G10,-1))))</f>
        <v>-862.13811199907457</v>
      </c>
      <c r="H16">
        <f>SUM(PRODUCT(D30, SUM(K8,PRODUCT(H8,-1))), PRODUCT(D31, SUM(K9,PRODUCT(H9,-1))), PRODUCT(D32, SUM(K10,PRODUCT(H10,-1))))</f>
        <v>-859.11594214051308</v>
      </c>
    </row>
    <row r="17" spans="2:15">
      <c r="B17" t="s">
        <v>2</v>
      </c>
      <c r="C17">
        <f>COS(C9)</f>
        <v>0.99992255025512189</v>
      </c>
      <c r="D17">
        <f>COS(D9)</f>
        <v>0.9999466397885034</v>
      </c>
      <c r="F17" t="s">
        <v>20</v>
      </c>
      <c r="G17">
        <f xml:space="preserve"> G14 / G16</f>
        <v>-7.0807255534269031E-2</v>
      </c>
      <c r="H17">
        <f xml:space="preserve"> H14 / H16</f>
        <v>0.13320336516196427</v>
      </c>
    </row>
    <row r="18" spans="2:15">
      <c r="B18" t="s">
        <v>3</v>
      </c>
      <c r="C18">
        <f>SIN(C9)</f>
        <v>-1.2445621370312394E-2</v>
      </c>
      <c r="D18">
        <f>SIN(D9)</f>
        <v>-1.0330419917947496E-2</v>
      </c>
      <c r="F18" t="s">
        <v>21</v>
      </c>
      <c r="G18">
        <f xml:space="preserve"> G15 / G16</f>
        <v>-0.57133467238628544</v>
      </c>
      <c r="H18">
        <f xml:space="preserve"> H15 / H16</f>
        <v>-0.57384077400313982</v>
      </c>
    </row>
    <row r="19" spans="2:15">
      <c r="G19" t="s">
        <v>37</v>
      </c>
      <c r="K19" t="s">
        <v>45</v>
      </c>
    </row>
    <row r="20" spans="2:15">
      <c r="B20" t="s">
        <v>4</v>
      </c>
      <c r="C20">
        <f>COS(C10)</f>
        <v>0.99998849842412019</v>
      </c>
      <c r="D20">
        <f>COS(D10)</f>
        <v>0.99990600151147324</v>
      </c>
      <c r="E20" s="1" t="s">
        <v>38</v>
      </c>
      <c r="F20">
        <f xml:space="preserve"> - (H6 / G16) * (C24 - (G14 / G16) * C30)</f>
        <v>0.13905379595771189</v>
      </c>
      <c r="G20">
        <f xml:space="preserve"> - (H6 / G16) * (C25 - (G14 / G16) * C31)</f>
        <v>-6.5007612747140342E-4</v>
      </c>
      <c r="H20">
        <f xml:space="preserve"> - (H6 / G16) * (C26 - (G14 / G16) * C32)</f>
        <v>1.1588082398552715E-2</v>
      </c>
      <c r="J20">
        <f xml:space="preserve"> F20 * K14</f>
        <v>3862.6054432697747</v>
      </c>
      <c r="K20">
        <f xml:space="preserve"> F21 * K15</f>
        <v>-8.9499973825036996</v>
      </c>
      <c r="L20">
        <f xml:space="preserve"> F22 * K14</f>
        <v>3884.7247653123181</v>
      </c>
      <c r="M20">
        <f xml:space="preserve"> F23 * K15</f>
        <v>30.194329599236973</v>
      </c>
    </row>
    <row r="21" spans="2:15">
      <c r="B21" t="s">
        <v>5</v>
      </c>
      <c r="C21">
        <f>SIN(C10)</f>
        <v>-4.7961463148351469E-3</v>
      </c>
      <c r="D21">
        <f>SIN(D10)</f>
        <v>-1.3710876753060685E-2</v>
      </c>
      <c r="E21" s="1" t="s">
        <v>39</v>
      </c>
      <c r="F21">
        <f xml:space="preserve"> - (H6 / G16) * (C27 - (G15 / G16) * C30)</f>
        <v>-3.2219990577013317E-4</v>
      </c>
      <c r="G21">
        <f xml:space="preserve"> - (H6 / G16) * (C28 - (G15 / G16) * C31)</f>
        <v>0.13930713662989863</v>
      </c>
      <c r="H21">
        <f xml:space="preserve"> - (H6 / G16) * (C29 - (G15 / G16) * C32)</f>
        <v>7.9315334208509877E-2</v>
      </c>
      <c r="J21">
        <f xml:space="preserve"> G20 * K14</f>
        <v>-18.057670207538983</v>
      </c>
      <c r="K21">
        <f xml:space="preserve"> G21 * K15</f>
        <v>3869.6426841638508</v>
      </c>
      <c r="L21">
        <f xml:space="preserve"> G22 * K14</f>
        <v>-54.92622329190916</v>
      </c>
      <c r="M21">
        <f xml:space="preserve"> G23 * K15</f>
        <v>3887.6437843334047</v>
      </c>
    </row>
    <row r="22" spans="2:15">
      <c r="E22" s="1" t="s">
        <v>40</v>
      </c>
      <c r="F22">
        <f xml:space="preserve"> - (H6 / H16) * (D24 - (H14 / H16) * D30)</f>
        <v>0.13985009155124345</v>
      </c>
      <c r="G22">
        <f xml:space="preserve"> - (H6 / H16) * (D25 - (H14 / H16) * D31)</f>
        <v>-1.9773440385087299E-3</v>
      </c>
      <c r="H22">
        <f xml:space="preserve"> - (H6 / H16) * (D26 - (H14 / H16) * D32)</f>
        <v>-1.7154789198605674E-2</v>
      </c>
      <c r="J22">
        <f xml:space="preserve"> H20 * K14</f>
        <v>321.89117773757539</v>
      </c>
      <c r="K22">
        <f>H21 * K15</f>
        <v>2203.2037280141631</v>
      </c>
      <c r="L22">
        <f xml:space="preserve"> H22 * K14</f>
        <v>-476.52192218349091</v>
      </c>
      <c r="M22">
        <f>H23 * K15</f>
        <v>2212.8234574048493</v>
      </c>
    </row>
    <row r="23" spans="2:15">
      <c r="E23" s="1" t="s">
        <v>41</v>
      </c>
      <c r="F23">
        <f xml:space="preserve"> - (H6 / H16) * (D27 - (H15 / H16) * D30)</f>
        <v>1.0869958655725311E-3</v>
      </c>
      <c r="G23">
        <f xml:space="preserve"> - (H6 / H16) * (D28 - (H15 / H16) * D31)</f>
        <v>0.13995517623600257</v>
      </c>
      <c r="H23">
        <f xml:space="preserve"> - (H6 / H16) * (D29 - (H15 / H16) * D32)</f>
        <v>7.9661644466574574E-2</v>
      </c>
      <c r="O23" s="4" t="s">
        <v>65</v>
      </c>
    </row>
    <row r="24" spans="2:15">
      <c r="B24" t="s">
        <v>6</v>
      </c>
      <c r="C24">
        <f>C17*C20</f>
        <v>0.99991104957003618</v>
      </c>
      <c r="D24">
        <f>D17 * D20</f>
        <v>0.99985264631575588</v>
      </c>
      <c r="G24" t="s">
        <v>47</v>
      </c>
      <c r="J24" t="s">
        <v>66</v>
      </c>
      <c r="M24" t="s">
        <v>52</v>
      </c>
      <c r="N24">
        <f xml:space="preserve"> N8 - N14</f>
        <v>1.129335887716465E-3</v>
      </c>
      <c r="O24">
        <f xml:space="preserve"> F20 * J30 + G20 * J31 + H20 * J32 - N24</f>
        <v>5.6664583218935492E-6</v>
      </c>
    </row>
    <row r="25" spans="2:15">
      <c r="B25" t="s">
        <v>7</v>
      </c>
      <c r="C25">
        <f>C14 * C21 + C15 * C18 * C20</f>
        <v>-4.777351796068554E-3</v>
      </c>
      <c r="D25">
        <f>D14 * D21 + D15 * D18 * D20</f>
        <v>-1.3673323876871306E-2</v>
      </c>
      <c r="F25">
        <f>J20 * F20 + K20 * F21</f>
        <v>537.11283286189587</v>
      </c>
      <c r="G25">
        <f>J20 * G20 + K20 * G21</f>
        <v>-3.757786096712457</v>
      </c>
      <c r="H25">
        <f>J20 * H20 + K20 * H21</f>
        <v>44.050318116149818</v>
      </c>
      <c r="J25">
        <f xml:space="preserve"> J20 * N24 + K20 * N25 + L20 * N26 + M20 * N27</f>
        <v>-4.5374024473426084</v>
      </c>
      <c r="M25" t="s">
        <v>53</v>
      </c>
      <c r="N25">
        <f xml:space="preserve"> N9 - N15</f>
        <v>-2.2606863542478095E-3</v>
      </c>
      <c r="O25">
        <f xml:space="preserve"> F21 * J30 + G21 * J31 + H21 * J32 - N25</f>
        <v>1.1423052090153898E-3</v>
      </c>
    </row>
    <row r="26" spans="2:15">
      <c r="B26" t="s">
        <v>8</v>
      </c>
      <c r="C26">
        <f>C15 * C21 - C14 * C18 * C20</f>
        <v>1.2452704829276543E-2</v>
      </c>
      <c r="D26">
        <f>D15 * D21 - D14 * D18 * D20</f>
        <v>1.0379107357486334E-2</v>
      </c>
      <c r="F26">
        <f>J21 * F20 + K21 * F21</f>
        <v>-3.757786096712457</v>
      </c>
      <c r="G26">
        <f>J21 * G20 + K21 * G21</f>
        <v>539.08058097202093</v>
      </c>
      <c r="H26">
        <f>J21 * H20 + K21 * H21</f>
        <v>306.7127489916802</v>
      </c>
      <c r="J26">
        <f xml:space="preserve"> J21 * N24 + K21 * N25 + L21 * N26 + M21 * N27</f>
        <v>-8.6146425015678627</v>
      </c>
      <c r="M26" t="s">
        <v>54</v>
      </c>
      <c r="N26">
        <f xml:space="preserve"> O8 - O14</f>
        <v>-2.2961805642882638E-3</v>
      </c>
      <c r="O26">
        <f xml:space="preserve"> F22 * J30 + G22 * J31 + H22 * J32 - N26</f>
        <v>5.8342580315142584E-6</v>
      </c>
    </row>
    <row r="27" spans="2:15">
      <c r="B27" t="s">
        <v>9</v>
      </c>
      <c r="C27">
        <f xml:space="preserve"> - C17 * C21</f>
        <v>4.7957748545266648E-3</v>
      </c>
      <c r="D27">
        <f xml:space="preserve"> - D17 * D21</f>
        <v>1.3710145137777338E-2</v>
      </c>
      <c r="F27">
        <f>J22 * F20 + K22 * F21</f>
        <v>44.050318116149811</v>
      </c>
      <c r="G27">
        <f>J22 * G20 + K22 * G21</f>
        <v>306.7127489916802</v>
      </c>
      <c r="H27">
        <f>J22 * H20 + K22 * H21</f>
        <v>178.47794150786842</v>
      </c>
      <c r="J27">
        <f xml:space="preserve"> J22 * N24 + K22 * N25 + L22 * N26 + M22 * N27</f>
        <v>-3.5072944991473407</v>
      </c>
      <c r="M27" t="s">
        <v>55</v>
      </c>
      <c r="N27">
        <f xml:space="preserve"> O9 - O15</f>
        <v>7.1196232198644793E-6</v>
      </c>
      <c r="O27">
        <f xml:space="preserve"> F23 * J30 + G23 * J31 + H23 * J32 - N27</f>
        <v>-1.1369072022918095E-3</v>
      </c>
    </row>
    <row r="28" spans="2:15">
      <c r="B28" t="s">
        <v>10</v>
      </c>
      <c r="C28">
        <f xml:space="preserve"> C14 * C20 - C15 * C18 * C21</f>
        <v>0.99998744894172209</v>
      </c>
      <c r="D28">
        <f xml:space="preserve"> D14 * D20 - D15 * D18 * D21</f>
        <v>0.99989993901386576</v>
      </c>
      <c r="G28" t="s">
        <v>48</v>
      </c>
    </row>
    <row r="29" spans="2:15">
      <c r="B29" t="s">
        <v>11</v>
      </c>
      <c r="C29">
        <f xml:space="preserve"> C15 * C20 + C14 * C18 * C21</f>
        <v>-1.4500008866464849E-3</v>
      </c>
      <c r="D29">
        <f xml:space="preserve"> D15 * D20 + D14 * D18 * D21</f>
        <v>-3.4848070776744419E-3</v>
      </c>
      <c r="F29">
        <f>L20 * F22 + M20 * F23</f>
        <v>543.31193519174849</v>
      </c>
      <c r="G29">
        <f>L20 * G22 + M20 * G23</f>
        <v>-3.4555846355483775</v>
      </c>
      <c r="H29">
        <f>L20 * H22 + M20 * H23</f>
        <v>-64.236304494094739</v>
      </c>
      <c r="J29" s="4" t="s">
        <v>67</v>
      </c>
      <c r="K29" s="4" t="s">
        <v>35</v>
      </c>
    </row>
    <row r="30" spans="2:15">
      <c r="B30" t="s">
        <v>12</v>
      </c>
      <c r="C30">
        <f>C18</f>
        <v>-1.2445621370312394E-2</v>
      </c>
      <c r="D30">
        <f>D18</f>
        <v>-1.0330419917947496E-2</v>
      </c>
      <c r="F30">
        <f>L21 * F22 + M21 * F23</f>
        <v>-3.4555846355483766</v>
      </c>
      <c r="G30">
        <f>L21 * G22 + M21 * G23</f>
        <v>544.20447901936575</v>
      </c>
      <c r="H30">
        <f>L21 * H22 + M21 * H23</f>
        <v>310.63834474230447</v>
      </c>
      <c r="J30">
        <f xml:space="preserve"> F41 * J25 + G41 * J26 + H41 * J27</f>
        <v>-2.4272202358281572E-3</v>
      </c>
      <c r="K30">
        <f xml:space="preserve"> K8 + J30</f>
        <v>270403.69357277977</v>
      </c>
    </row>
    <row r="31" spans="2:15">
      <c r="B31" t="s">
        <v>13</v>
      </c>
      <c r="C31">
        <f xml:space="preserve"> - C15 * C17</f>
        <v>1.5095922771352572E-3</v>
      </c>
      <c r="D31">
        <f xml:space="preserve"> - D15 * D17</f>
        <v>3.626592646784377E-3</v>
      </c>
      <c r="F31">
        <f>L22 * F22 + M22 * F23</f>
        <v>-64.236304494094725</v>
      </c>
      <c r="G31">
        <f>L22 * G22 + M22 * G23</f>
        <v>310.63834474230441</v>
      </c>
      <c r="H31">
        <f>L22 * H22 + M22 * H23</f>
        <v>184.4517886546536</v>
      </c>
      <c r="J31">
        <f xml:space="preserve"> F42 * J25 + G42 * J26 + H42 * J27</f>
        <v>-7.7894791389821944E-2</v>
      </c>
      <c r="K31">
        <f xml:space="preserve"> K9 + J31</f>
        <v>6150981.3155052094</v>
      </c>
    </row>
    <row r="32" spans="2:15">
      <c r="B32" t="s">
        <v>14</v>
      </c>
      <c r="C32">
        <f xml:space="preserve"> C14 * C17</f>
        <v>0.99992141073179519</v>
      </c>
      <c r="D32">
        <f xml:space="preserve"> D14 * D17</f>
        <v>0.99994006332884444</v>
      </c>
      <c r="G32" t="s">
        <v>46</v>
      </c>
      <c r="J32">
        <f xml:space="preserve"> F43 * J25 + G43 * J26 + H43 * J27</f>
        <v>0.12270183626726133</v>
      </c>
      <c r="K32">
        <f xml:space="preserve"> K10 + J32</f>
        <v>183.18020183626726</v>
      </c>
    </row>
    <row r="33" spans="3:12">
      <c r="F33">
        <f t="shared" ref="F33:H35" si="0">F25 + F29</f>
        <v>1080.4247680536444</v>
      </c>
      <c r="G33">
        <f t="shared" si="0"/>
        <v>-7.2133707322608345</v>
      </c>
      <c r="H33">
        <f t="shared" si="0"/>
        <v>-20.185986377944921</v>
      </c>
    </row>
    <row r="34" spans="3:12">
      <c r="F34">
        <f t="shared" si="0"/>
        <v>-7.2133707322608336</v>
      </c>
      <c r="G34">
        <f t="shared" si="0"/>
        <v>1083.2850599913868</v>
      </c>
      <c r="H34">
        <f t="shared" si="0"/>
        <v>617.35109373398473</v>
      </c>
    </row>
    <row r="35" spans="3:12">
      <c r="F35">
        <f t="shared" si="0"/>
        <v>-20.185986377944914</v>
      </c>
      <c r="G35">
        <f t="shared" si="0"/>
        <v>617.35109373398461</v>
      </c>
      <c r="H35">
        <f t="shared" si="0"/>
        <v>362.92973016252199</v>
      </c>
    </row>
    <row r="36" spans="3:12">
      <c r="G36" t="s">
        <v>49</v>
      </c>
    </row>
    <row r="37" spans="3:12">
      <c r="F37">
        <f xml:space="preserve"> G34 * H35-G35 * H34</f>
        <v>12033.981577218336</v>
      </c>
      <c r="G37">
        <f>H33 * G35 - H35 * G33</f>
        <v>-9843.8940751019545</v>
      </c>
      <c r="H37">
        <f xml:space="preserve"> G33 * H34 - G34 * H33</f>
        <v>17413.995153347441</v>
      </c>
    </row>
    <row r="38" spans="3:12">
      <c r="C38" t="s">
        <v>51</v>
      </c>
      <c r="D38">
        <f xml:space="preserve"> F33 * F37 + G33 * F38 + H33 * F39</f>
        <v>12721300.742789695</v>
      </c>
      <c r="F38">
        <f xml:space="preserve"> H34 * F35 - H35 * F34</f>
        <v>-9843.8940751019509</v>
      </c>
      <c r="G38">
        <f xml:space="preserve"> F33 * H35 - F35 * H33</f>
        <v>391710.79548456398</v>
      </c>
      <c r="H38">
        <f xml:space="preserve"> H33 * F34 - H34 * F33</f>
        <v>-666855.80325186357</v>
      </c>
      <c r="J38">
        <v>7009</v>
      </c>
      <c r="K38">
        <v>1</v>
      </c>
      <c r="L38">
        <v>2</v>
      </c>
    </row>
    <row r="39" spans="3:12">
      <c r="F39">
        <f xml:space="preserve"> F34 * G35 - F35 * G34</f>
        <v>17413.995153347438</v>
      </c>
      <c r="G39">
        <f xml:space="preserve"> G33 * F35 - G35 * F33</f>
        <v>-666855.80325186346</v>
      </c>
      <c r="H39">
        <f xml:space="preserve"> F33 * G34 - F34 * G33</f>
        <v>1170355.9769598511</v>
      </c>
    </row>
    <row r="40" spans="3:12">
      <c r="G40" t="s">
        <v>50</v>
      </c>
    </row>
    <row r="41" spans="3:12">
      <c r="F41">
        <f xml:space="preserve"> F37 / D38</f>
        <v>9.4597099939163647E-4</v>
      </c>
      <c r="G41">
        <f xml:space="preserve"> G37 / D38</f>
        <v>-7.7381191390207284E-4</v>
      </c>
      <c r="H41">
        <f xml:space="preserve"> H37 / D38</f>
        <v>1.3688847945220947E-3</v>
      </c>
    </row>
    <row r="42" spans="3:12">
      <c r="F42">
        <f xml:space="preserve"> F38 / D38</f>
        <v>-7.7381191390207252E-4</v>
      </c>
      <c r="G42">
        <f xml:space="preserve"> G38 / D38</f>
        <v>3.0791725107716026E-2</v>
      </c>
      <c r="H42">
        <f xml:space="preserve"> H38 / D38</f>
        <v>-5.2420410202929188E-2</v>
      </c>
    </row>
    <row r="43" spans="3:12">
      <c r="F43">
        <f xml:space="preserve"> F39 / D38</f>
        <v>1.3688847945220943E-3</v>
      </c>
      <c r="G43">
        <f xml:space="preserve"> G39 / D38</f>
        <v>-5.2420410202929181E-2</v>
      </c>
      <c r="H43">
        <f xml:space="preserve"> H39 / D38</f>
        <v>9.1999709827094295E-2</v>
      </c>
    </row>
    <row r="44" spans="3:12">
      <c r="C44" t="s">
        <v>34</v>
      </c>
      <c r="D44" t="s">
        <v>35</v>
      </c>
    </row>
    <row r="45" spans="3:12">
      <c r="D45">
        <v>270558.17</v>
      </c>
    </row>
    <row r="46" spans="3:12">
      <c r="D46">
        <v>6150919.75</v>
      </c>
    </row>
    <row r="47" spans="3:12">
      <c r="D47">
        <v>200.17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dada</dc:creator>
  <cp:lastModifiedBy>Yufei Zhang</cp:lastModifiedBy>
  <dcterms:created xsi:type="dcterms:W3CDTF">2016-09-19T05:28:58Z</dcterms:created>
  <dcterms:modified xsi:type="dcterms:W3CDTF">2016-09-20T09:49:35Z</dcterms:modified>
</cp:coreProperties>
</file>