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ortuosity"/>
  </sheets>
  <calcPr fullCalcOnLoad="1"/>
</workbook>
</file>

<file path=xl/sharedStrings.xml><?xml version="1.0" encoding="utf-8"?>
<sst xmlns="http://schemas.openxmlformats.org/spreadsheetml/2006/main" count="99" uniqueCount="52">
  <si>
    <t xml:space="preserve">Name </t>
  </si>
  <si>
    <t>Datum</t>
  </si>
  <si>
    <t>Project</t>
  </si>
  <si>
    <t>m_electrode [mg]</t>
  </si>
  <si>
    <t>m_cc [mg]</t>
  </si>
  <si>
    <t>M_coating [mg]</t>
  </si>
  <si>
    <t>Porosity</t>
  </si>
  <si>
    <t>Elyte conduct. [mS/cm]</t>
  </si>
  <si>
    <t>Diameter [cm]</t>
  </si>
  <si>
    <t>electr. thickn. [µm]</t>
  </si>
  <si>
    <t>cc thickness [µm]</t>
  </si>
  <si>
    <t>coating thickness [µm]</t>
  </si>
  <si>
    <t>2* Rion [Ohm] (aus EC-Lab)</t>
  </si>
  <si>
    <t>tau</t>
  </si>
  <si>
    <t>McMullin</t>
  </si>
  <si>
    <t>Comment</t>
  </si>
  <si>
    <t>Masse Ref coating</t>
  </si>
  <si>
    <t>Abtrag [%]</t>
  </si>
  <si>
    <t>RM_S3_1</t>
  </si>
  <si>
    <t>Stacking electrodes</t>
  </si>
  <si>
    <t>RM_S3_2</t>
  </si>
  <si>
    <t>RM_S12_1</t>
  </si>
  <si>
    <t>RM_S12_2</t>
  </si>
  <si>
    <t>RM_D3_1</t>
  </si>
  <si>
    <t>RM_D3_2</t>
  </si>
  <si>
    <t>RM_D12_1</t>
  </si>
  <si>
    <t>RM_D12_2</t>
  </si>
  <si>
    <t>RM_DS_3+12_1</t>
  </si>
  <si>
    <t>RM_DS_3+12_2</t>
  </si>
  <si>
    <t>RM_DS_12+3_1</t>
  </si>
  <si>
    <t>RM_DS_12+3_2</t>
  </si>
  <si>
    <t>RM_stacked cells second S3_1</t>
  </si>
  <si>
    <t>RM_stacked cells second S3_2</t>
  </si>
  <si>
    <t>RM_stacked cells second S12_1</t>
  </si>
  <si>
    <t>RM_stacked cells second S12_2</t>
  </si>
  <si>
    <t>RM_stacked cells second D3_1</t>
  </si>
  <si>
    <t>RM_stacked cells second D3_2</t>
  </si>
  <si>
    <t>RM_stacked cells second D12_1</t>
  </si>
  <si>
    <t>RM_stacked cells second D12_2</t>
  </si>
  <si>
    <t>RM_stacked cells second DS_3+12_1</t>
  </si>
  <si>
    <t>RM_stacked cells second DS_3+12_2</t>
  </si>
  <si>
    <t>RM_stacked cells second DS_12+3_1</t>
  </si>
  <si>
    <t>RM_stacked cells second DS_12+3_2</t>
  </si>
  <si>
    <t>Bharat comments:</t>
  </si>
  <si>
    <t>Line 26 to 49 are to be used with the folder where the EIS data are.</t>
  </si>
  <si>
    <t>single electrode 3% PDVF Cell 1</t>
  </si>
  <si>
    <t>single electrode 3% PDVF Cell 2</t>
  </si>
  <si>
    <t>single electrode 12% PDVF Cell 1</t>
  </si>
  <si>
    <t>single electrode 12% PDVF Cell 2</t>
  </si>
  <si>
    <t>Double electrode 3% each on both side</t>
  </si>
  <si>
    <t>D12 double with 12% binder on top of each other</t>
  </si>
  <si>
    <t>DS: 3+12 3 on the bottom and 12 on the 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</si>
</sst>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64.86214285714286" customWidth="1" bestFit="1"/>
    <col min="2" max="2" style="8" width="11.43357142857143" customWidth="1" bestFit="1"/>
    <col min="3" max="3" style="7" width="25.862142857142857" customWidth="1" bestFit="1"/>
    <col min="4" max="4" style="9" width="17.290714285714284" customWidth="1" bestFit="1"/>
    <col min="5" max="5" style="8" width="10.005" customWidth="1" bestFit="1"/>
    <col min="6" max="6" style="8" width="15.147857142857141" customWidth="1" bestFit="1"/>
    <col min="7" max="7" style="9" width="11.43357142857143" customWidth="1" bestFit="1"/>
    <col min="8" max="8" style="9" width="21.719285714285714" customWidth="1" bestFit="1"/>
    <col min="9" max="9" style="9" width="13.719285714285713" customWidth="1" bestFit="1"/>
    <col min="10" max="10" style="8" width="18.005" customWidth="1" bestFit="1"/>
    <col min="11" max="11" style="8" width="16.290714285714284" customWidth="1" bestFit="1"/>
    <col min="12" max="12" style="8" width="21.005" customWidth="1" bestFit="1"/>
    <col min="13" max="13" style="8" width="25.005" customWidth="1" bestFit="1"/>
    <col min="14" max="14" style="9" width="12.719285714285713" customWidth="1" bestFit="1"/>
    <col min="15" max="15" style="9" width="12.719285714285713" customWidth="1" bestFit="1"/>
    <col min="16" max="16" style="9" width="52.86214285714286" customWidth="1" bestFit="1"/>
    <col min="17" max="17" style="9" width="17.005" customWidth="1" bestFit="1"/>
    <col min="18" max="18" style="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</row>
    <row x14ac:dyDescent="0.25" r="2" customHeight="1" ht="18.75">
      <c r="A2" s="1" t="s">
        <v>18</v>
      </c>
      <c r="B2" s="4">
        <v>19082018</v>
      </c>
      <c r="C2" s="1" t="s">
        <v>19</v>
      </c>
      <c r="D2" s="5">
        <v>25.105</v>
      </c>
      <c r="E2" s="4">
        <v>0</v>
      </c>
      <c r="F2" s="5">
        <f>D2-E2</f>
      </c>
      <c r="G2" s="5">
        <v>0.53</v>
      </c>
      <c r="H2" s="5">
        <v>0.353</v>
      </c>
      <c r="I2" s="5">
        <v>1.095</v>
      </c>
      <c r="J2" s="4">
        <v>251</v>
      </c>
      <c r="K2" s="4">
        <v>0</v>
      </c>
      <c r="L2" s="4">
        <f>J2-K2</f>
      </c>
      <c r="M2" s="4">
        <v>1062</v>
      </c>
      <c r="N2" s="5">
        <f>M2*H2/10*(I2^2*PI()/4)/10000*G2/(L2/1000000)/2</f>
      </c>
      <c r="O2" s="5">
        <f>N2/G2</f>
      </c>
      <c r="P2" s="3"/>
      <c r="Q2" s="3"/>
      <c r="R2" s="1"/>
    </row>
    <row x14ac:dyDescent="0.25" r="3" customHeight="1" ht="18.75">
      <c r="A3" s="1"/>
      <c r="B3" s="2"/>
      <c r="C3" s="1" t="s">
        <v>19</v>
      </c>
      <c r="D3" s="3"/>
      <c r="E3" s="4">
        <v>0</v>
      </c>
      <c r="F3" s="4">
        <f>D3-E3</f>
      </c>
      <c r="G3" s="3"/>
      <c r="H3" s="5">
        <v>0.353</v>
      </c>
      <c r="I3" s="5">
        <v>1.095</v>
      </c>
      <c r="J3" s="2"/>
      <c r="K3" s="4">
        <v>0</v>
      </c>
      <c r="L3" s="4">
        <f>J3-K3</f>
      </c>
      <c r="M3" s="2"/>
      <c r="N3" s="3"/>
      <c r="O3" s="3"/>
      <c r="P3" s="3"/>
      <c r="Q3" s="3"/>
      <c r="R3" s="1"/>
    </row>
    <row x14ac:dyDescent="0.25" r="4" customHeight="1" ht="18.75">
      <c r="A4" s="1" t="s">
        <v>20</v>
      </c>
      <c r="B4" s="4">
        <v>19082018</v>
      </c>
      <c r="C4" s="1" t="s">
        <v>19</v>
      </c>
      <c r="D4" s="5">
        <v>31.58</v>
      </c>
      <c r="E4" s="4">
        <v>0</v>
      </c>
      <c r="F4" s="5">
        <f>D4-E4</f>
      </c>
      <c r="G4" s="5">
        <v>0.52</v>
      </c>
      <c r="H4" s="5">
        <v>0.353</v>
      </c>
      <c r="I4" s="5">
        <v>1.095</v>
      </c>
      <c r="J4" s="4">
        <v>309</v>
      </c>
      <c r="K4" s="4">
        <v>0</v>
      </c>
      <c r="L4" s="4">
        <f>J4-K4</f>
      </c>
      <c r="M4" s="4">
        <v>1405</v>
      </c>
      <c r="N4" s="5">
        <f>M4*H4/10*(I4^2*PI()/4)/10000*G4/(L4/1000000)/2</f>
      </c>
      <c r="O4" s="5">
        <f>N4/G4</f>
      </c>
      <c r="P4" s="3"/>
      <c r="Q4" s="3"/>
      <c r="R4" s="1"/>
    </row>
    <row x14ac:dyDescent="0.25" r="5" customHeight="1" ht="18.75">
      <c r="A5" s="1"/>
      <c r="B5" s="2"/>
      <c r="C5" s="1" t="s">
        <v>19</v>
      </c>
      <c r="D5" s="3"/>
      <c r="E5" s="4">
        <v>0</v>
      </c>
      <c r="F5" s="4">
        <f>D5-E5</f>
      </c>
      <c r="G5" s="3"/>
      <c r="H5" s="5">
        <v>0.353</v>
      </c>
      <c r="I5" s="5">
        <v>1.095</v>
      </c>
      <c r="J5" s="2"/>
      <c r="K5" s="4">
        <v>0</v>
      </c>
      <c r="L5" s="4">
        <f>J5-K5</f>
      </c>
      <c r="M5" s="2"/>
      <c r="N5" s="3"/>
      <c r="O5" s="3"/>
      <c r="P5" s="3"/>
      <c r="Q5" s="3"/>
      <c r="R5" s="1"/>
    </row>
    <row x14ac:dyDescent="0.25" r="6" customHeight="1" ht="18.75">
      <c r="A6" s="1" t="s">
        <v>21</v>
      </c>
      <c r="B6" s="4">
        <v>19082018</v>
      </c>
      <c r="C6" s="1" t="s">
        <v>19</v>
      </c>
      <c r="D6" s="5">
        <v>6.72</v>
      </c>
      <c r="E6" s="4">
        <v>0</v>
      </c>
      <c r="F6" s="5">
        <f>D6-E6</f>
      </c>
      <c r="G6" s="5">
        <v>0.56</v>
      </c>
      <c r="H6" s="5">
        <v>0.353</v>
      </c>
      <c r="I6" s="5">
        <v>1.095</v>
      </c>
      <c r="J6" s="4">
        <v>74</v>
      </c>
      <c r="K6" s="4">
        <v>0</v>
      </c>
      <c r="L6" s="4">
        <f>J6-K6</f>
      </c>
      <c r="M6" s="4">
        <v>473</v>
      </c>
      <c r="N6" s="5">
        <f>M6*H6/10*(I6^2*PI()/4)/10000*G6/(L6/1000000)/2</f>
      </c>
      <c r="O6" s="5">
        <f>N6/G6</f>
      </c>
      <c r="P6" s="3"/>
      <c r="Q6" s="3"/>
      <c r="R6" s="1"/>
    </row>
    <row x14ac:dyDescent="0.25" r="7" customHeight="1" ht="18.75">
      <c r="A7" s="1"/>
      <c r="B7" s="2"/>
      <c r="C7" s="1" t="s">
        <v>19</v>
      </c>
      <c r="D7" s="3"/>
      <c r="E7" s="4">
        <v>0</v>
      </c>
      <c r="F7" s="4">
        <f>D7-E7</f>
      </c>
      <c r="G7" s="3"/>
      <c r="H7" s="5">
        <v>0.353</v>
      </c>
      <c r="I7" s="5">
        <v>1.095</v>
      </c>
      <c r="J7" s="2"/>
      <c r="K7" s="4">
        <v>0</v>
      </c>
      <c r="L7" s="4">
        <f>J7-K7</f>
      </c>
      <c r="M7" s="2"/>
      <c r="N7" s="3"/>
      <c r="O7" s="3"/>
      <c r="P7" s="3"/>
      <c r="Q7" s="3"/>
      <c r="R7" s="1"/>
    </row>
    <row x14ac:dyDescent="0.25" r="8" customHeight="1" ht="18.75">
      <c r="A8" s="1" t="s">
        <v>22</v>
      </c>
      <c r="B8" s="4">
        <v>19082018</v>
      </c>
      <c r="C8" s="1" t="s">
        <v>19</v>
      </c>
      <c r="D8" s="5">
        <v>6.75</v>
      </c>
      <c r="E8" s="4">
        <v>0</v>
      </c>
      <c r="F8" s="5">
        <f>D8-E8</f>
      </c>
      <c r="G8" s="5">
        <v>0.57</v>
      </c>
      <c r="H8" s="5">
        <v>0.353</v>
      </c>
      <c r="I8" s="5">
        <v>1.095</v>
      </c>
      <c r="J8" s="4">
        <v>76</v>
      </c>
      <c r="K8" s="4">
        <v>0</v>
      </c>
      <c r="L8" s="4">
        <f>J8-K8</f>
      </c>
      <c r="M8" s="4">
        <v>482</v>
      </c>
      <c r="N8" s="5">
        <f>M8*H8/10*(I8^2*PI()/4)/10000*G8/(L8/1000000)/2</f>
      </c>
      <c r="O8" s="5">
        <f>N8/G8</f>
      </c>
      <c r="P8" s="3"/>
      <c r="Q8" s="3"/>
      <c r="R8" s="1"/>
    </row>
    <row x14ac:dyDescent="0.25" r="9" customHeight="1" ht="18.75">
      <c r="A9" s="1"/>
      <c r="B9" s="2"/>
      <c r="C9" s="1" t="s">
        <v>19</v>
      </c>
      <c r="D9" s="3"/>
      <c r="E9" s="4">
        <v>0</v>
      </c>
      <c r="F9" s="4">
        <f>D9-E9</f>
      </c>
      <c r="G9" s="3"/>
      <c r="H9" s="5">
        <v>0.353</v>
      </c>
      <c r="I9" s="5">
        <v>1.095</v>
      </c>
      <c r="J9" s="2"/>
      <c r="K9" s="4">
        <v>0</v>
      </c>
      <c r="L9" s="4">
        <f>J9-K9</f>
      </c>
      <c r="M9" s="2"/>
      <c r="N9" s="3"/>
      <c r="O9" s="3"/>
      <c r="P9" s="3"/>
      <c r="Q9" s="3"/>
      <c r="R9" s="1"/>
    </row>
    <row x14ac:dyDescent="0.25" r="10" customHeight="1" ht="18.75">
      <c r="A10" s="1" t="s">
        <v>23</v>
      </c>
      <c r="B10" s="4">
        <v>19082018</v>
      </c>
      <c r="C10" s="1" t="s">
        <v>19</v>
      </c>
      <c r="D10" s="5">
        <f>33.235+32.39</f>
      </c>
      <c r="E10" s="4">
        <v>0</v>
      </c>
      <c r="F10" s="5">
        <f>D10-E10</f>
      </c>
      <c r="G10" s="5">
        <v>0.515</v>
      </c>
      <c r="H10" s="5">
        <v>0.353</v>
      </c>
      <c r="I10" s="5">
        <v>1.095</v>
      </c>
      <c r="J10" s="4">
        <v>642</v>
      </c>
      <c r="K10" s="4">
        <v>0</v>
      </c>
      <c r="L10" s="4">
        <f>J10-K10</f>
      </c>
      <c r="M10" s="4">
        <v>2820</v>
      </c>
      <c r="N10" s="5">
        <f>M10*H10/10*(I10^2*PI()/4)/10000*G10/(L10/1000000)/2</f>
      </c>
      <c r="O10" s="5">
        <f>N10/G10</f>
      </c>
      <c r="P10" s="3"/>
      <c r="Q10" s="3"/>
      <c r="R10" s="1"/>
    </row>
    <row x14ac:dyDescent="0.25" r="11" customHeight="1" ht="18.75">
      <c r="A11" s="1"/>
      <c r="B11" s="2"/>
      <c r="C11" s="1" t="s">
        <v>19</v>
      </c>
      <c r="D11" s="3"/>
      <c r="E11" s="4">
        <v>0</v>
      </c>
      <c r="F11" s="4">
        <f>D11-E11</f>
      </c>
      <c r="G11" s="3"/>
      <c r="H11" s="5">
        <v>0.353</v>
      </c>
      <c r="I11" s="5">
        <v>1.095</v>
      </c>
      <c r="J11" s="2"/>
      <c r="K11" s="4">
        <v>0</v>
      </c>
      <c r="L11" s="4">
        <f>J11-K11</f>
      </c>
      <c r="M11" s="2"/>
      <c r="N11" s="3"/>
      <c r="O11" s="3"/>
      <c r="P11" s="3"/>
      <c r="Q11" s="3"/>
      <c r="R11" s="1"/>
    </row>
    <row x14ac:dyDescent="0.25" r="12" customHeight="1" ht="18.75">
      <c r="A12" s="1" t="s">
        <v>24</v>
      </c>
      <c r="B12" s="4">
        <v>19082018</v>
      </c>
      <c r="C12" s="1" t="s">
        <v>19</v>
      </c>
      <c r="D12" s="5">
        <f>33.71+35.12</f>
      </c>
      <c r="E12" s="4">
        <v>0</v>
      </c>
      <c r="F12" s="5">
        <f>D12-E12</f>
      </c>
      <c r="G12" s="5">
        <v>0.515</v>
      </c>
      <c r="H12" s="5">
        <v>0.353</v>
      </c>
      <c r="I12" s="5">
        <v>1.095</v>
      </c>
      <c r="J12" s="4">
        <v>673</v>
      </c>
      <c r="K12" s="4">
        <v>0</v>
      </c>
      <c r="L12" s="4">
        <f>J12-K12</f>
      </c>
      <c r="M12" s="4">
        <v>3164</v>
      </c>
      <c r="N12" s="5">
        <f>M12*H12/10*(I12^2*PI()/4)/10000*G12/(L12/1000000)/2</f>
      </c>
      <c r="O12" s="5">
        <f>N12/G12</f>
      </c>
      <c r="P12" s="3"/>
      <c r="Q12" s="3"/>
      <c r="R12" s="1"/>
    </row>
    <row x14ac:dyDescent="0.25" r="13" customHeight="1" ht="18.75">
      <c r="A13" s="1"/>
      <c r="B13" s="2"/>
      <c r="C13" s="1" t="s">
        <v>19</v>
      </c>
      <c r="D13" s="3"/>
      <c r="E13" s="4">
        <v>0</v>
      </c>
      <c r="F13" s="4">
        <f>D13-E13</f>
      </c>
      <c r="G13" s="3"/>
      <c r="H13" s="5">
        <v>0.353</v>
      </c>
      <c r="I13" s="5">
        <v>1.095</v>
      </c>
      <c r="J13" s="2"/>
      <c r="K13" s="4">
        <v>0</v>
      </c>
      <c r="L13" s="4">
        <f>J13-K13</f>
      </c>
      <c r="M13" s="2"/>
      <c r="N13" s="3"/>
      <c r="O13" s="3"/>
      <c r="P13" s="3"/>
      <c r="Q13" s="3"/>
      <c r="R13" s="1"/>
    </row>
    <row x14ac:dyDescent="0.25" r="14" customHeight="1" ht="18.75">
      <c r="A14" s="1" t="s">
        <v>25</v>
      </c>
      <c r="B14" s="4">
        <v>19082018</v>
      </c>
      <c r="C14" s="1" t="s">
        <v>19</v>
      </c>
      <c r="D14" s="5">
        <f>6.8+6.83</f>
      </c>
      <c r="E14" s="4">
        <v>0</v>
      </c>
      <c r="F14" s="5">
        <f>D14-E14</f>
      </c>
      <c r="G14" s="5">
        <v>0.57</v>
      </c>
      <c r="H14" s="5">
        <v>0.353</v>
      </c>
      <c r="I14" s="5">
        <v>1.095</v>
      </c>
      <c r="J14" s="4">
        <v>154</v>
      </c>
      <c r="K14" s="4">
        <v>0</v>
      </c>
      <c r="L14" s="4">
        <f>J14-K14</f>
      </c>
      <c r="M14" s="4">
        <v>1059</v>
      </c>
      <c r="N14" s="5">
        <f>M14*H14/10*(I14^2*PI()/4)/10000*G14/(L14/1000000)/2</f>
      </c>
      <c r="O14" s="5">
        <f>N14/G14</f>
      </c>
      <c r="P14" s="3"/>
      <c r="Q14" s="3"/>
      <c r="R14" s="1"/>
    </row>
    <row x14ac:dyDescent="0.25" r="15" customHeight="1" ht="18.75">
      <c r="A15" s="1"/>
      <c r="B15" s="2"/>
      <c r="C15" s="1" t="s">
        <v>19</v>
      </c>
      <c r="D15" s="3"/>
      <c r="E15" s="4">
        <v>0</v>
      </c>
      <c r="F15" s="4">
        <f>D15-E15</f>
      </c>
      <c r="G15" s="3"/>
      <c r="H15" s="5">
        <v>0.353</v>
      </c>
      <c r="I15" s="5">
        <v>1.095</v>
      </c>
      <c r="J15" s="2"/>
      <c r="K15" s="4">
        <v>0</v>
      </c>
      <c r="L15" s="4">
        <f>J15-K15</f>
      </c>
      <c r="M15" s="2"/>
      <c r="N15" s="3"/>
      <c r="O15" s="3"/>
      <c r="P15" s="3"/>
      <c r="Q15" s="3"/>
      <c r="R15" s="1"/>
    </row>
    <row x14ac:dyDescent="0.25" r="16" customHeight="1" ht="18.75">
      <c r="A16" s="1" t="s">
        <v>26</v>
      </c>
      <c r="B16" s="4">
        <v>19082018</v>
      </c>
      <c r="C16" s="1" t="s">
        <v>19</v>
      </c>
      <c r="D16" s="5">
        <f>6.9+6.92</f>
      </c>
      <c r="E16" s="4">
        <v>0</v>
      </c>
      <c r="F16" s="5">
        <f>D16-E16</f>
      </c>
      <c r="G16" s="5">
        <v>0.57</v>
      </c>
      <c r="H16" s="5">
        <v>0.353</v>
      </c>
      <c r="I16" s="5">
        <v>1.095</v>
      </c>
      <c r="J16" s="4">
        <v>156</v>
      </c>
      <c r="K16" s="4">
        <v>0</v>
      </c>
      <c r="L16" s="4">
        <f>J16-K16</f>
      </c>
      <c r="M16" s="4">
        <v>1031</v>
      </c>
      <c r="N16" s="5">
        <f>M16*H16/10*(I16^2*PI()/4)/10000*G16/(L16/1000000)/2</f>
      </c>
      <c r="O16" s="5">
        <f>N16/G16</f>
      </c>
      <c r="P16" s="3"/>
      <c r="Q16" s="3"/>
      <c r="R16" s="1"/>
    </row>
    <row x14ac:dyDescent="0.25" r="17" customHeight="1" ht="18.75">
      <c r="A17" s="1"/>
      <c r="B17" s="2"/>
      <c r="C17" s="1" t="s">
        <v>19</v>
      </c>
      <c r="D17" s="3"/>
      <c r="E17" s="4">
        <v>0</v>
      </c>
      <c r="F17" s="4">
        <f>D17-E17</f>
      </c>
      <c r="G17" s="3"/>
      <c r="H17" s="5">
        <v>0.353</v>
      </c>
      <c r="I17" s="5">
        <v>1.095</v>
      </c>
      <c r="J17" s="2"/>
      <c r="K17" s="4">
        <v>0</v>
      </c>
      <c r="L17" s="4">
        <f>J17-K17</f>
      </c>
      <c r="M17" s="2"/>
      <c r="N17" s="3"/>
      <c r="O17" s="3"/>
      <c r="P17" s="3"/>
      <c r="Q17" s="3"/>
      <c r="R17" s="1"/>
    </row>
    <row x14ac:dyDescent="0.25" r="18" customHeight="1" ht="18.75">
      <c r="A18" s="1" t="s">
        <v>27</v>
      </c>
      <c r="B18" s="4">
        <v>19082018</v>
      </c>
      <c r="C18" s="1" t="s">
        <v>19</v>
      </c>
      <c r="D18" s="5">
        <f>26.93+6.655</f>
      </c>
      <c r="E18" s="4">
        <v>0</v>
      </c>
      <c r="F18" s="5">
        <f>D18-E18</f>
      </c>
      <c r="G18" s="5">
        <f>73/(270+73)*0.56+270/(270+73)*0.53</f>
      </c>
      <c r="H18" s="5">
        <v>0.353</v>
      </c>
      <c r="I18" s="5">
        <v>1.095</v>
      </c>
      <c r="J18" s="4">
        <f>270+73</f>
      </c>
      <c r="K18" s="4">
        <v>0</v>
      </c>
      <c r="L18" s="4">
        <f>J18-K18</f>
      </c>
      <c r="M18" s="4">
        <v>2175</v>
      </c>
      <c r="N18" s="5">
        <f>M18*H18/10*(I18^2*PI()/4)/10000*G18/(L18/1000000)/2</f>
      </c>
      <c r="O18" s="5">
        <f>N18/G18</f>
      </c>
      <c r="P18" s="3"/>
      <c r="Q18" s="3"/>
      <c r="R18" s="1"/>
    </row>
    <row x14ac:dyDescent="0.25" r="19" customHeight="1" ht="18.75">
      <c r="A19" s="1"/>
      <c r="B19" s="2"/>
      <c r="C19" s="1" t="s">
        <v>19</v>
      </c>
      <c r="D19" s="3"/>
      <c r="E19" s="4">
        <v>0</v>
      </c>
      <c r="F19" s="4">
        <f>D19-E19</f>
      </c>
      <c r="G19" s="3"/>
      <c r="H19" s="5">
        <v>0.353</v>
      </c>
      <c r="I19" s="5">
        <v>1.095</v>
      </c>
      <c r="J19" s="2"/>
      <c r="K19" s="4">
        <v>0</v>
      </c>
      <c r="L19" s="4">
        <f>J19-K19</f>
      </c>
      <c r="M19" s="2"/>
      <c r="N19" s="3"/>
      <c r="O19" s="3"/>
      <c r="P19" s="3"/>
      <c r="Q19" s="3"/>
      <c r="R19" s="1"/>
    </row>
    <row x14ac:dyDescent="0.25" r="20" customHeight="1" ht="18.75">
      <c r="A20" s="1" t="s">
        <v>28</v>
      </c>
      <c r="B20" s="4">
        <v>19082018</v>
      </c>
      <c r="C20" s="1" t="s">
        <v>19</v>
      </c>
      <c r="D20" s="5">
        <f>27.17+6.67</f>
      </c>
      <c r="E20" s="4">
        <v>0</v>
      </c>
      <c r="F20" s="5">
        <f>D20-E20</f>
      </c>
      <c r="G20" s="5">
        <f>73/(270+74)*0.56+270/(270+74)*0.52</f>
      </c>
      <c r="H20" s="5">
        <v>0.353</v>
      </c>
      <c r="I20" s="5">
        <v>1.095</v>
      </c>
      <c r="J20" s="4">
        <f>270+74</f>
      </c>
      <c r="K20" s="4">
        <v>0</v>
      </c>
      <c r="L20" s="4">
        <f>J20-K20</f>
      </c>
      <c r="M20" s="4">
        <v>2316</v>
      </c>
      <c r="N20" s="5">
        <f>M20*H20/10*(I20^2*PI()/4)/10000*G20/(L20/1000000)/2</f>
      </c>
      <c r="O20" s="5">
        <f>N20/G20</f>
      </c>
      <c r="P20" s="3"/>
      <c r="Q20" s="3"/>
      <c r="R20" s="1"/>
    </row>
    <row x14ac:dyDescent="0.25" r="21" customHeight="1" ht="18.75">
      <c r="A21" s="1"/>
      <c r="B21" s="2"/>
      <c r="C21" s="1" t="s">
        <v>19</v>
      </c>
      <c r="D21" s="3"/>
      <c r="E21" s="4">
        <v>0</v>
      </c>
      <c r="F21" s="4">
        <f>D21-E21</f>
      </c>
      <c r="G21" s="3"/>
      <c r="H21" s="5">
        <v>0.353</v>
      </c>
      <c r="I21" s="5">
        <v>1.095</v>
      </c>
      <c r="J21" s="2"/>
      <c r="K21" s="4">
        <v>0</v>
      </c>
      <c r="L21" s="4">
        <f>J21-K21</f>
      </c>
      <c r="M21" s="2"/>
      <c r="N21" s="3"/>
      <c r="O21" s="3"/>
      <c r="P21" s="3"/>
      <c r="Q21" s="3"/>
      <c r="R21" s="1"/>
    </row>
    <row x14ac:dyDescent="0.25" r="22" customHeight="1" ht="18.75">
      <c r="A22" s="1" t="s">
        <v>29</v>
      </c>
      <c r="B22" s="4">
        <v>19082018</v>
      </c>
      <c r="C22" s="1" t="s">
        <v>19</v>
      </c>
      <c r="D22" s="5">
        <f>28.455+7</f>
      </c>
      <c r="E22" s="4">
        <v>0</v>
      </c>
      <c r="F22" s="5">
        <f>D22-E22</f>
      </c>
      <c r="G22" s="5">
        <f>79/(283+79)*0.57+283/(283+79)*0.52</f>
      </c>
      <c r="H22" s="5">
        <v>0.353</v>
      </c>
      <c r="I22" s="5">
        <v>1.095</v>
      </c>
      <c r="J22" s="4">
        <f>283+79</f>
      </c>
      <c r="K22" s="4">
        <v>0</v>
      </c>
      <c r="L22" s="4">
        <f>J22-K22</f>
      </c>
      <c r="M22" s="4">
        <v>1495</v>
      </c>
      <c r="N22" s="5">
        <f>M22*H22/10*(I22^2*PI()/4)/10000*G22/(L22/1000000)/2</f>
      </c>
      <c r="O22" s="5">
        <f>N22/G22</f>
      </c>
      <c r="P22" s="3"/>
      <c r="Q22" s="3"/>
      <c r="R22" s="1"/>
    </row>
    <row x14ac:dyDescent="0.25" r="23" customHeight="1" ht="18.75">
      <c r="A23" s="1"/>
      <c r="B23" s="2"/>
      <c r="C23" s="1" t="s">
        <v>19</v>
      </c>
      <c r="D23" s="3"/>
      <c r="E23" s="4">
        <v>0</v>
      </c>
      <c r="F23" s="4">
        <f>D23-E23</f>
      </c>
      <c r="G23" s="3"/>
      <c r="H23" s="5">
        <v>0.353</v>
      </c>
      <c r="I23" s="5">
        <v>1.095</v>
      </c>
      <c r="J23" s="2"/>
      <c r="K23" s="4">
        <v>0</v>
      </c>
      <c r="L23" s="4">
        <f>J23-K23</f>
      </c>
      <c r="M23" s="2"/>
      <c r="N23" s="3"/>
      <c r="O23" s="3"/>
      <c r="P23" s="3"/>
      <c r="Q23" s="3"/>
      <c r="R23" s="1"/>
    </row>
    <row x14ac:dyDescent="0.25" r="24" customHeight="1" ht="18.75">
      <c r="A24" s="1" t="s">
        <v>30</v>
      </c>
      <c r="B24" s="4">
        <v>19082018</v>
      </c>
      <c r="C24" s="1" t="s">
        <v>19</v>
      </c>
      <c r="D24" s="5">
        <f>28.82+7.195</f>
      </c>
      <c r="E24" s="4">
        <v>0</v>
      </c>
      <c r="F24" s="5">
        <f>D24-E24</f>
      </c>
      <c r="G24" s="5">
        <f>80/(284+80)*0.56+284/(284+80)*0.52</f>
      </c>
      <c r="H24" s="5">
        <v>0.353</v>
      </c>
      <c r="I24" s="5">
        <v>1.095</v>
      </c>
      <c r="J24" s="4">
        <f>284+80</f>
      </c>
      <c r="K24" s="4">
        <v>0</v>
      </c>
      <c r="L24" s="4">
        <f>J24-K24</f>
      </c>
      <c r="M24" s="4">
        <v>1631</v>
      </c>
      <c r="N24" s="5">
        <f>M24*H24/10*(I24^2*PI()/4)/10000*G24/(L24/1000000)/2</f>
      </c>
      <c r="O24" s="5">
        <f>N24/G24</f>
      </c>
      <c r="P24" s="3"/>
      <c r="Q24" s="3"/>
      <c r="R24" s="1"/>
    </row>
    <row x14ac:dyDescent="0.25" r="25" customHeight="1" ht="18.75">
      <c r="A25" s="1"/>
      <c r="B25" s="2"/>
      <c r="C25" s="1" t="s">
        <v>19</v>
      </c>
      <c r="D25" s="3"/>
      <c r="E25" s="4">
        <v>0</v>
      </c>
      <c r="F25" s="4">
        <f>D25-E25</f>
      </c>
      <c r="G25" s="3"/>
      <c r="H25" s="5">
        <v>0.353</v>
      </c>
      <c r="I25" s="5">
        <v>1.095</v>
      </c>
      <c r="J25" s="2"/>
      <c r="K25" s="4">
        <v>0</v>
      </c>
      <c r="L25" s="4">
        <f>J25-K25</f>
      </c>
      <c r="M25" s="2"/>
      <c r="N25" s="3"/>
      <c r="O25" s="3"/>
      <c r="P25" s="3"/>
      <c r="Q25" s="3"/>
      <c r="R25" s="1"/>
    </row>
    <row x14ac:dyDescent="0.25" r="26" customHeight="1" ht="18.75">
      <c r="A26" s="1" t="s">
        <v>31</v>
      </c>
      <c r="B26" s="4">
        <v>20180903</v>
      </c>
      <c r="C26" s="1" t="s">
        <v>19</v>
      </c>
      <c r="D26" s="5">
        <v>26.48</v>
      </c>
      <c r="E26" s="4">
        <v>0</v>
      </c>
      <c r="F26" s="5">
        <f>D26-E26</f>
      </c>
      <c r="G26" s="5">
        <v>0.53</v>
      </c>
      <c r="H26" s="5">
        <v>0.353</v>
      </c>
      <c r="I26" s="5">
        <v>1.095</v>
      </c>
      <c r="J26" s="4">
        <v>268</v>
      </c>
      <c r="K26" s="4">
        <v>0</v>
      </c>
      <c r="L26" s="4">
        <f>J26-K26</f>
      </c>
      <c r="M26" s="4">
        <v>986</v>
      </c>
      <c r="N26" s="5">
        <f>M26*H26/10*(I26^2*PI()/4)/10000*G26/(L26/1000000)/2</f>
      </c>
      <c r="O26" s="5">
        <f>N26/G26</f>
      </c>
      <c r="P26" s="5">
        <f>(N26+N28)/2</f>
      </c>
      <c r="Q26" s="5">
        <f>(O26+O28)/2</f>
      </c>
      <c r="R26" s="1"/>
    </row>
    <row x14ac:dyDescent="0.25" r="27" customHeight="1" ht="18.75">
      <c r="A27" s="1"/>
      <c r="B27" s="2"/>
      <c r="C27" s="1" t="s">
        <v>19</v>
      </c>
      <c r="D27" s="3"/>
      <c r="E27" s="4">
        <v>0</v>
      </c>
      <c r="F27" s="4">
        <f>D27-E27</f>
      </c>
      <c r="G27" s="3"/>
      <c r="H27" s="5">
        <v>0.353</v>
      </c>
      <c r="I27" s="5">
        <v>1.095</v>
      </c>
      <c r="J27" s="2"/>
      <c r="K27" s="4">
        <v>0</v>
      </c>
      <c r="L27" s="4">
        <f>J27-K27</f>
      </c>
      <c r="M27" s="2"/>
      <c r="N27" s="3"/>
      <c r="O27" s="3"/>
      <c r="P27" s="5">
        <f>_xlfn.STDEV.P(N26,N28)</f>
      </c>
      <c r="Q27" s="5">
        <f>_xlfn.STDEV.P(O26,O28)</f>
      </c>
      <c r="R27" s="1"/>
    </row>
    <row x14ac:dyDescent="0.25" r="28" customHeight="1" ht="18.75">
      <c r="A28" s="1" t="s">
        <v>32</v>
      </c>
      <c r="B28" s="4">
        <v>20180903</v>
      </c>
      <c r="C28" s="1" t="s">
        <v>19</v>
      </c>
      <c r="D28" s="5">
        <v>27.06</v>
      </c>
      <c r="E28" s="4">
        <v>0</v>
      </c>
      <c r="F28" s="5">
        <f>D28-E28</f>
      </c>
      <c r="G28" s="5">
        <v>0.52</v>
      </c>
      <c r="H28" s="5">
        <v>0.353</v>
      </c>
      <c r="I28" s="5">
        <v>1.095</v>
      </c>
      <c r="J28" s="4">
        <v>269</v>
      </c>
      <c r="K28" s="4">
        <v>0</v>
      </c>
      <c r="L28" s="4">
        <f>J28-K28</f>
      </c>
      <c r="M28" s="4">
        <v>1014</v>
      </c>
      <c r="N28" s="5">
        <f>M28*H28/10*(I28^2*PI()/4)/10000*G28/(L28/1000000)/2</f>
      </c>
      <c r="O28" s="5">
        <f>N28/G28</f>
      </c>
      <c r="P28" s="3"/>
      <c r="Q28" s="3"/>
      <c r="R28" s="1"/>
    </row>
    <row x14ac:dyDescent="0.25" r="29" customHeight="1" ht="18.75">
      <c r="A29" s="1"/>
      <c r="B29" s="2"/>
      <c r="C29" s="1" t="s">
        <v>19</v>
      </c>
      <c r="D29" s="3"/>
      <c r="E29" s="4">
        <v>0</v>
      </c>
      <c r="F29" s="4">
        <f>D29-E29</f>
      </c>
      <c r="G29" s="3"/>
      <c r="H29" s="5">
        <v>0.353</v>
      </c>
      <c r="I29" s="5">
        <v>1.095</v>
      </c>
      <c r="J29" s="2"/>
      <c r="K29" s="4">
        <v>0</v>
      </c>
      <c r="L29" s="4">
        <f>J29-K29</f>
      </c>
      <c r="M29" s="2"/>
      <c r="N29" s="3"/>
      <c r="O29" s="3"/>
      <c r="P29" s="3"/>
      <c r="Q29" s="3"/>
      <c r="R29" s="1"/>
    </row>
    <row x14ac:dyDescent="0.25" r="30" customHeight="1" ht="18.75">
      <c r="A30" s="1" t="s">
        <v>33</v>
      </c>
      <c r="B30" s="4">
        <v>20180903</v>
      </c>
      <c r="C30" s="1" t="s">
        <v>19</v>
      </c>
      <c r="D30" s="5">
        <v>6.41</v>
      </c>
      <c r="E30" s="4">
        <v>0</v>
      </c>
      <c r="F30" s="5">
        <f>D30-E30</f>
      </c>
      <c r="G30" s="5">
        <v>0.41</v>
      </c>
      <c r="H30" s="5">
        <v>0.353</v>
      </c>
      <c r="I30" s="5">
        <v>1.095</v>
      </c>
      <c r="J30" s="4">
        <v>52</v>
      </c>
      <c r="K30" s="4">
        <v>0</v>
      </c>
      <c r="L30" s="4">
        <f>J30-K30</f>
      </c>
      <c r="M30" s="4">
        <v>417</v>
      </c>
      <c r="N30" s="5">
        <f>M30*H30/10*(I30^2*PI()/4)/10000*G30/(L30/1000000)/2</f>
      </c>
      <c r="O30" s="5">
        <f>N30/G30</f>
      </c>
      <c r="P30" s="5">
        <f>(N30+N32)/2</f>
      </c>
      <c r="Q30" s="5">
        <f>(O30+O32)/2</f>
      </c>
      <c r="R30" s="1"/>
    </row>
    <row x14ac:dyDescent="0.25" r="31" customHeight="1" ht="18.75">
      <c r="A31" s="1"/>
      <c r="B31" s="2"/>
      <c r="C31" s="1" t="s">
        <v>19</v>
      </c>
      <c r="D31" s="3"/>
      <c r="E31" s="4">
        <v>0</v>
      </c>
      <c r="F31" s="4">
        <f>D31-E31</f>
      </c>
      <c r="G31" s="3"/>
      <c r="H31" s="5">
        <v>0.353</v>
      </c>
      <c r="I31" s="5">
        <v>1.095</v>
      </c>
      <c r="J31" s="2"/>
      <c r="K31" s="4">
        <v>0</v>
      </c>
      <c r="L31" s="4">
        <f>J31-K31</f>
      </c>
      <c r="M31" s="2"/>
      <c r="N31" s="3"/>
      <c r="O31" s="3"/>
      <c r="P31" s="5">
        <f>_xlfn.STDEV.P(N30,N32)</f>
      </c>
      <c r="Q31" s="5">
        <f>_xlfn.STDEV.P(O30,O32)</f>
      </c>
      <c r="R31" s="1"/>
    </row>
    <row x14ac:dyDescent="0.25" r="32" customHeight="1" ht="18.75">
      <c r="A32" s="1" t="s">
        <v>34</v>
      </c>
      <c r="B32" s="4">
        <v>20180903</v>
      </c>
      <c r="C32" s="1" t="s">
        <v>19</v>
      </c>
      <c r="D32" s="5">
        <v>6.495</v>
      </c>
      <c r="E32" s="4">
        <v>0</v>
      </c>
      <c r="F32" s="5">
        <f>D32-E32</f>
      </c>
      <c r="G32" s="5">
        <v>0.43</v>
      </c>
      <c r="H32" s="5">
        <v>0.353</v>
      </c>
      <c r="I32" s="5">
        <v>1.095</v>
      </c>
      <c r="J32" s="4">
        <v>54</v>
      </c>
      <c r="K32" s="4">
        <v>0</v>
      </c>
      <c r="L32" s="4">
        <f>J32-K32</f>
      </c>
      <c r="M32" s="4">
        <v>402</v>
      </c>
      <c r="N32" s="5">
        <f>M32*H32/10*(I32^2*PI()/4)/10000*G32/(L32/1000000)/2</f>
      </c>
      <c r="O32" s="5">
        <f>N32/G32</f>
      </c>
      <c r="P32" s="3"/>
      <c r="Q32" s="3"/>
      <c r="R32" s="1"/>
    </row>
    <row x14ac:dyDescent="0.25" r="33" customHeight="1" ht="18.75">
      <c r="A33" s="1"/>
      <c r="B33" s="2"/>
      <c r="C33" s="1" t="s">
        <v>19</v>
      </c>
      <c r="D33" s="3"/>
      <c r="E33" s="4">
        <v>0</v>
      </c>
      <c r="F33" s="4">
        <f>D33-E33</f>
      </c>
      <c r="G33" s="3"/>
      <c r="H33" s="5">
        <v>0.353</v>
      </c>
      <c r="I33" s="5">
        <v>1.095</v>
      </c>
      <c r="J33" s="2"/>
      <c r="K33" s="4">
        <v>0</v>
      </c>
      <c r="L33" s="4">
        <f>J33-K33</f>
      </c>
      <c r="M33" s="2"/>
      <c r="N33" s="3"/>
      <c r="O33" s="3"/>
      <c r="P33" s="3"/>
      <c r="Q33" s="3"/>
      <c r="R33" s="1"/>
    </row>
    <row x14ac:dyDescent="0.25" r="34" customHeight="1" ht="18.75">
      <c r="A34" s="1" t="s">
        <v>35</v>
      </c>
      <c r="B34" s="4">
        <v>20180903</v>
      </c>
      <c r="C34" s="1" t="s">
        <v>19</v>
      </c>
      <c r="D34" s="5">
        <f>29.19+29.51</f>
      </c>
      <c r="E34" s="4">
        <v>0</v>
      </c>
      <c r="F34" s="5">
        <f>D34-E34</f>
      </c>
      <c r="G34" s="5">
        <v>0.52</v>
      </c>
      <c r="H34" s="5">
        <v>0.353</v>
      </c>
      <c r="I34" s="5">
        <v>1.095</v>
      </c>
      <c r="J34" s="4">
        <v>580</v>
      </c>
      <c r="K34" s="4">
        <v>0</v>
      </c>
      <c r="L34" s="4">
        <f>J34-K34</f>
      </c>
      <c r="M34" s="4">
        <v>2217</v>
      </c>
      <c r="N34" s="5">
        <f>M34*H34/10*(I34^2*PI()/4)/10000*G34/(L34/1000000)/2</f>
      </c>
      <c r="O34" s="5">
        <f>N34/G34</f>
      </c>
      <c r="P34" s="5">
        <f>(N34+N36)/2</f>
      </c>
      <c r="Q34" s="5">
        <f>(O34+O36)/2</f>
      </c>
      <c r="R34" s="1"/>
    </row>
    <row x14ac:dyDescent="0.25" r="35" customHeight="1" ht="18.75">
      <c r="A35" s="1"/>
      <c r="B35" s="2"/>
      <c r="C35" s="1" t="s">
        <v>19</v>
      </c>
      <c r="D35" s="3"/>
      <c r="E35" s="4">
        <v>0</v>
      </c>
      <c r="F35" s="4">
        <f>D35-E35</f>
      </c>
      <c r="G35" s="3"/>
      <c r="H35" s="5">
        <v>0.353</v>
      </c>
      <c r="I35" s="5">
        <v>1.095</v>
      </c>
      <c r="J35" s="2"/>
      <c r="K35" s="4">
        <v>0</v>
      </c>
      <c r="L35" s="4">
        <f>J35-K35</f>
      </c>
      <c r="M35" s="2"/>
      <c r="N35" s="3"/>
      <c r="O35" s="3"/>
      <c r="P35" s="5">
        <f>_xlfn.STDEV.P(N34,N36)</f>
      </c>
      <c r="Q35" s="5">
        <f>_xlfn.STDEV.P(O34,O36)</f>
      </c>
      <c r="R35" s="1"/>
    </row>
    <row x14ac:dyDescent="0.25" r="36" customHeight="1" ht="18.75">
      <c r="A36" s="1" t="s">
        <v>36</v>
      </c>
      <c r="B36" s="4">
        <v>20180903</v>
      </c>
      <c r="C36" s="1" t="s">
        <v>19</v>
      </c>
      <c r="D36" s="5">
        <f>29.735+30.105</f>
      </c>
      <c r="E36" s="4">
        <v>0</v>
      </c>
      <c r="F36" s="5">
        <f>D36-E36</f>
      </c>
      <c r="G36" s="5">
        <v>0.52</v>
      </c>
      <c r="H36" s="5">
        <v>0.353</v>
      </c>
      <c r="I36" s="5">
        <v>1.095</v>
      </c>
      <c r="J36" s="5">
        <v>593.5</v>
      </c>
      <c r="K36" s="4">
        <v>0</v>
      </c>
      <c r="L36" s="5">
        <f>J36-K36</f>
      </c>
      <c r="M36" s="4">
        <v>2133</v>
      </c>
      <c r="N36" s="5">
        <f>M36*H36/10*(I36^2*PI()/4)/10000*G36/(L36/1000000)/2</f>
      </c>
      <c r="O36" s="5">
        <f>N36/G36</f>
      </c>
      <c r="P36" s="3"/>
      <c r="Q36" s="3"/>
      <c r="R36" s="1"/>
    </row>
    <row x14ac:dyDescent="0.25" r="37" customHeight="1" ht="18.75">
      <c r="A37" s="1"/>
      <c r="B37" s="2"/>
      <c r="C37" s="1" t="s">
        <v>19</v>
      </c>
      <c r="D37" s="3"/>
      <c r="E37" s="4">
        <v>0</v>
      </c>
      <c r="F37" s="4">
        <f>D37-E37</f>
      </c>
      <c r="G37" s="3"/>
      <c r="H37" s="5">
        <v>0.353</v>
      </c>
      <c r="I37" s="5">
        <v>1.095</v>
      </c>
      <c r="J37" s="2"/>
      <c r="K37" s="4">
        <v>0</v>
      </c>
      <c r="L37" s="4">
        <f>J37-K37</f>
      </c>
      <c r="M37" s="2"/>
      <c r="N37" s="3"/>
      <c r="O37" s="3"/>
      <c r="P37" s="3"/>
      <c r="Q37" s="3"/>
      <c r="R37" s="1"/>
    </row>
    <row x14ac:dyDescent="0.25" r="38" customHeight="1" ht="18.75">
      <c r="A38" s="1" t="s">
        <v>37</v>
      </c>
      <c r="B38" s="4">
        <v>20180903</v>
      </c>
      <c r="C38" s="1" t="s">
        <v>19</v>
      </c>
      <c r="D38" s="5">
        <f>(6.52+6.645)</f>
      </c>
      <c r="E38" s="4">
        <v>0</v>
      </c>
      <c r="F38" s="5">
        <f>D38-E38</f>
      </c>
      <c r="G38" s="5">
        <v>0.41</v>
      </c>
      <c r="H38" s="5">
        <v>0.353</v>
      </c>
      <c r="I38" s="5">
        <v>1.095</v>
      </c>
      <c r="J38" s="4">
        <v>106</v>
      </c>
      <c r="K38" s="4">
        <v>0</v>
      </c>
      <c r="L38" s="4">
        <f>J38-K38</f>
      </c>
      <c r="M38" s="4">
        <v>912</v>
      </c>
      <c r="N38" s="5">
        <f>M38*H38/10*(I38^2*PI()/4)/10000*G38/(L38/1000000)/2</f>
      </c>
      <c r="O38" s="5">
        <f>N38/G38</f>
      </c>
      <c r="P38" s="5">
        <f>(N38+N40)/2</f>
      </c>
      <c r="Q38" s="5">
        <f>(O38+O40)/2</f>
      </c>
      <c r="R38" s="1"/>
    </row>
    <row x14ac:dyDescent="0.25" r="39" customHeight="1" ht="18.75">
      <c r="A39" s="1"/>
      <c r="B39" s="2"/>
      <c r="C39" s="1" t="s">
        <v>19</v>
      </c>
      <c r="D39" s="3"/>
      <c r="E39" s="4">
        <v>0</v>
      </c>
      <c r="F39" s="4">
        <f>D39-E39</f>
      </c>
      <c r="G39" s="3"/>
      <c r="H39" s="5">
        <v>0.353</v>
      </c>
      <c r="I39" s="5">
        <v>1.095</v>
      </c>
      <c r="J39" s="2"/>
      <c r="K39" s="4">
        <v>0</v>
      </c>
      <c r="L39" s="4">
        <f>J39-K39</f>
      </c>
      <c r="M39" s="2"/>
      <c r="N39" s="3"/>
      <c r="O39" s="3"/>
      <c r="P39" s="5">
        <f>_xlfn.STDEV.P(N38,N40)</f>
      </c>
      <c r="Q39" s="5">
        <f>_xlfn.STDEV.P(O38,O40)</f>
      </c>
      <c r="R39" s="1"/>
    </row>
    <row x14ac:dyDescent="0.25" r="40" customHeight="1" ht="18.75">
      <c r="A40" s="1" t="s">
        <v>38</v>
      </c>
      <c r="B40" s="4">
        <v>20180903</v>
      </c>
      <c r="C40" s="1" t="s">
        <v>19</v>
      </c>
      <c r="D40" s="5">
        <f>6.555+6.925</f>
      </c>
      <c r="E40" s="4">
        <v>0</v>
      </c>
      <c r="F40" s="5">
        <f>D40-E40</f>
      </c>
      <c r="G40" s="5">
        <v>0.43</v>
      </c>
      <c r="H40" s="5">
        <v>0.353</v>
      </c>
      <c r="I40" s="5">
        <v>1.095</v>
      </c>
      <c r="J40" s="4">
        <v>112</v>
      </c>
      <c r="K40" s="4">
        <v>0</v>
      </c>
      <c r="L40" s="4">
        <f>J40-K40</f>
      </c>
      <c r="M40" s="4">
        <v>972</v>
      </c>
      <c r="N40" s="5">
        <f>M40*H40/10*(I40^2*PI()/4)/10000*G40/(L40/1000000)/2</f>
      </c>
      <c r="O40" s="5">
        <f>N40/G40</f>
      </c>
      <c r="P40" s="3"/>
      <c r="Q40" s="3"/>
      <c r="R40" s="1"/>
    </row>
    <row x14ac:dyDescent="0.25" r="41" customHeight="1" ht="18.75">
      <c r="A41" s="1"/>
      <c r="B41" s="2"/>
      <c r="C41" s="1" t="s">
        <v>19</v>
      </c>
      <c r="D41" s="3"/>
      <c r="E41" s="4">
        <v>0</v>
      </c>
      <c r="F41" s="4">
        <f>D41-E41</f>
      </c>
      <c r="G41" s="3"/>
      <c r="H41" s="5">
        <v>0.353</v>
      </c>
      <c r="I41" s="5">
        <v>1.095</v>
      </c>
      <c r="J41" s="2"/>
      <c r="K41" s="4">
        <v>0</v>
      </c>
      <c r="L41" s="4">
        <f>J41-K41</f>
      </c>
      <c r="M41" s="2"/>
      <c r="N41" s="3"/>
      <c r="O41" s="3"/>
      <c r="P41" s="3"/>
      <c r="Q41" s="3"/>
      <c r="R41" s="1"/>
    </row>
    <row x14ac:dyDescent="0.25" r="42" customHeight="1" ht="18.75">
      <c r="A42" s="1" t="s">
        <v>39</v>
      </c>
      <c r="B42" s="4">
        <v>20180903</v>
      </c>
      <c r="C42" s="1" t="s">
        <v>19</v>
      </c>
      <c r="D42" s="5">
        <f>27.825+6.655</f>
      </c>
      <c r="E42" s="4">
        <v>0</v>
      </c>
      <c r="F42" s="5">
        <f>D42-E42</f>
      </c>
      <c r="G42" s="5">
        <f>52/(277+52)*0.38+277/(277+52)*0.51</f>
      </c>
      <c r="H42" s="5">
        <v>0.353</v>
      </c>
      <c r="I42" s="5">
        <v>1.095</v>
      </c>
      <c r="J42" s="4">
        <v>329</v>
      </c>
      <c r="K42" s="4">
        <v>0</v>
      </c>
      <c r="L42" s="4">
        <f>J42-K42</f>
      </c>
      <c r="M42" s="4">
        <v>1968</v>
      </c>
      <c r="N42" s="5">
        <f>M42*H42/10*(I42^2*PI()/4)/10000*G42/(L42/1000000)/2</f>
      </c>
      <c r="O42" s="5">
        <f>N42/G42</f>
      </c>
      <c r="P42" s="5">
        <f>(N42+N44)/2</f>
      </c>
      <c r="Q42" s="5">
        <f>(O42+O44)/2</f>
      </c>
      <c r="R42" s="1"/>
    </row>
    <row x14ac:dyDescent="0.25" r="43" customHeight="1" ht="18.75">
      <c r="A43" s="1"/>
      <c r="B43" s="2"/>
      <c r="C43" s="1" t="s">
        <v>19</v>
      </c>
      <c r="D43" s="3"/>
      <c r="E43" s="4">
        <v>0</v>
      </c>
      <c r="F43" s="4">
        <f>D43-E43</f>
      </c>
      <c r="G43" s="3"/>
      <c r="H43" s="5">
        <v>0.353</v>
      </c>
      <c r="I43" s="5">
        <v>1.095</v>
      </c>
      <c r="J43" s="2"/>
      <c r="K43" s="4">
        <v>0</v>
      </c>
      <c r="L43" s="4">
        <f>J43-K43</f>
      </c>
      <c r="M43" s="2"/>
      <c r="N43" s="3"/>
      <c r="O43" s="3"/>
      <c r="P43" s="5">
        <f>_xlfn.STDEV.P(N42,N44)</f>
      </c>
      <c r="Q43" s="5">
        <f>_xlfn.STDEV.P(O42,O44)</f>
      </c>
      <c r="R43" s="1"/>
    </row>
    <row x14ac:dyDescent="0.25" r="44" customHeight="1" ht="18.75">
      <c r="A44" s="1" t="s">
        <v>40</v>
      </c>
      <c r="B44" s="4">
        <v>20180903</v>
      </c>
      <c r="C44" s="1" t="s">
        <v>19</v>
      </c>
      <c r="D44" s="5">
        <f>28.07+6.715</f>
      </c>
      <c r="E44" s="4">
        <v>0</v>
      </c>
      <c r="F44" s="5">
        <f>D44-E44</f>
      </c>
      <c r="G44" s="5">
        <f>55/(279+55)*0.41+279/(279+55)*0.51</f>
      </c>
      <c r="H44" s="5">
        <v>0.353</v>
      </c>
      <c r="I44" s="5">
        <v>1.095</v>
      </c>
      <c r="J44" s="4">
        <v>334</v>
      </c>
      <c r="K44" s="4">
        <v>0</v>
      </c>
      <c r="L44" s="4">
        <f>J44-K44</f>
      </c>
      <c r="M44" s="4">
        <v>1923</v>
      </c>
      <c r="N44" s="5">
        <f>M44*H44/10*(I44^2*PI()/4)/10000*G44/(L44/1000000)/2</f>
      </c>
      <c r="O44" s="5">
        <f>N44/G44</f>
      </c>
      <c r="P44" s="3"/>
      <c r="Q44" s="3"/>
      <c r="R44" s="1"/>
    </row>
    <row x14ac:dyDescent="0.25" r="45" customHeight="1" ht="18.75">
      <c r="A45" s="1"/>
      <c r="B45" s="2"/>
      <c r="C45" s="1" t="s">
        <v>19</v>
      </c>
      <c r="D45" s="3"/>
      <c r="E45" s="4">
        <v>0</v>
      </c>
      <c r="F45" s="4">
        <f>D45-E45</f>
      </c>
      <c r="G45" s="3"/>
      <c r="H45" s="5">
        <v>0.353</v>
      </c>
      <c r="I45" s="5">
        <v>1.095</v>
      </c>
      <c r="J45" s="2"/>
      <c r="K45" s="4">
        <v>0</v>
      </c>
      <c r="L45" s="4">
        <f>J45-K45</f>
      </c>
      <c r="M45" s="2"/>
      <c r="N45" s="3"/>
      <c r="O45" s="3"/>
      <c r="P45" s="3"/>
      <c r="Q45" s="3"/>
      <c r="R45" s="1"/>
    </row>
    <row x14ac:dyDescent="0.25" r="46" customHeight="1" ht="18.75">
      <c r="A46" s="1" t="s">
        <v>41</v>
      </c>
      <c r="B46" s="4">
        <v>20180903</v>
      </c>
      <c r="C46" s="1" t="s">
        <v>19</v>
      </c>
      <c r="D46" s="5">
        <f>28.195+6.84</f>
      </c>
      <c r="E46" s="4">
        <v>0</v>
      </c>
      <c r="F46" s="5">
        <f>D46-E46</f>
      </c>
      <c r="G46" s="5">
        <f>57/(285+57)*0.42+285/(285+57)*0.52</f>
      </c>
      <c r="H46" s="5">
        <v>0.353</v>
      </c>
      <c r="I46" s="5">
        <v>1.095</v>
      </c>
      <c r="J46" s="4">
        <v>342</v>
      </c>
      <c r="K46" s="4">
        <v>0</v>
      </c>
      <c r="L46" s="4">
        <f>J46-K46</f>
      </c>
      <c r="M46" s="2"/>
      <c r="N46" s="3"/>
      <c r="O46" s="3"/>
      <c r="P46" s="3"/>
      <c r="Q46" s="3"/>
      <c r="R46" s="1"/>
    </row>
    <row x14ac:dyDescent="0.25" r="47" customHeight="1" ht="18.75">
      <c r="A47" s="1"/>
      <c r="B47" s="2"/>
      <c r="C47" s="1" t="s">
        <v>19</v>
      </c>
      <c r="D47" s="3"/>
      <c r="E47" s="4">
        <v>0</v>
      </c>
      <c r="F47" s="4">
        <f>D47-E47</f>
      </c>
      <c r="G47" s="3"/>
      <c r="H47" s="5">
        <v>0.353</v>
      </c>
      <c r="I47" s="5">
        <v>1.095</v>
      </c>
      <c r="J47" s="2"/>
      <c r="K47" s="4">
        <v>0</v>
      </c>
      <c r="L47" s="4">
        <f>J47-K47</f>
      </c>
      <c r="M47" s="2"/>
      <c r="N47" s="3"/>
      <c r="O47" s="3"/>
      <c r="P47" s="3"/>
      <c r="Q47" s="3"/>
      <c r="R47" s="1"/>
    </row>
    <row x14ac:dyDescent="0.25" r="48" customHeight="1" ht="18.75">
      <c r="A48" s="1" t="s">
        <v>42</v>
      </c>
      <c r="B48" s="4">
        <v>20180903</v>
      </c>
      <c r="C48" s="1" t="s">
        <v>19</v>
      </c>
      <c r="D48" s="5">
        <f>28.76+6.865</f>
      </c>
      <c r="E48" s="4">
        <v>0</v>
      </c>
      <c r="F48" s="5">
        <f>D48-E48</f>
      </c>
      <c r="G48" s="5">
        <f>55/(287+55)*0.39+287/(287+55)*0.51</f>
      </c>
      <c r="H48" s="5">
        <v>0.353</v>
      </c>
      <c r="I48" s="5">
        <v>1.095</v>
      </c>
      <c r="J48" s="4">
        <v>342</v>
      </c>
      <c r="K48" s="4">
        <v>0</v>
      </c>
      <c r="L48" s="4">
        <f>J48-K48</f>
      </c>
      <c r="M48" s="2"/>
      <c r="N48" s="3"/>
      <c r="O48" s="3"/>
      <c r="P48" s="3"/>
      <c r="Q48" s="3"/>
      <c r="R48" s="1"/>
    </row>
    <row x14ac:dyDescent="0.25" r="49" customHeight="1" ht="18.75">
      <c r="A49" s="1"/>
      <c r="B49" s="2"/>
      <c r="C49" s="1" t="s">
        <v>19</v>
      </c>
      <c r="D49" s="3"/>
      <c r="E49" s="4">
        <v>0</v>
      </c>
      <c r="F49" s="4">
        <f>D49-E49</f>
      </c>
      <c r="G49" s="3"/>
      <c r="H49" s="5">
        <v>0.353</v>
      </c>
      <c r="I49" s="5">
        <v>1.095</v>
      </c>
      <c r="J49" s="2"/>
      <c r="K49" s="4">
        <v>0</v>
      </c>
      <c r="L49" s="4">
        <f>J49-K49</f>
      </c>
      <c r="M49" s="2"/>
      <c r="N49" s="3"/>
      <c r="O49" s="3"/>
      <c r="P49" s="3"/>
      <c r="Q49" s="3"/>
      <c r="R49" s="1"/>
    </row>
    <row x14ac:dyDescent="0.25" r="50" customHeight="1" ht="18.75">
      <c r="A50" s="6" t="s">
        <v>43</v>
      </c>
      <c r="B50" s="2"/>
      <c r="C50" s="1"/>
      <c r="D50" s="3"/>
      <c r="E50" s="2"/>
      <c r="F50" s="2"/>
      <c r="G50" s="3"/>
      <c r="H50" s="3"/>
      <c r="I50" s="3"/>
      <c r="J50" s="2"/>
      <c r="K50" s="2"/>
      <c r="L50" s="2"/>
      <c r="M50" s="2"/>
      <c r="N50" s="3"/>
      <c r="O50" s="3"/>
      <c r="P50" s="3"/>
      <c r="Q50" s="3"/>
      <c r="R50" s="1"/>
    </row>
    <row x14ac:dyDescent="0.25" r="51" customHeight="1" ht="18.75">
      <c r="A51" s="6" t="s">
        <v>44</v>
      </c>
      <c r="B51" s="2"/>
      <c r="C51" s="1"/>
      <c r="D51" s="3"/>
      <c r="E51" s="2"/>
      <c r="F51" s="2"/>
      <c r="G51" s="3"/>
      <c r="H51" s="3"/>
      <c r="I51" s="3"/>
      <c r="J51" s="2"/>
      <c r="K51" s="2"/>
      <c r="L51" s="2"/>
      <c r="M51" s="2"/>
      <c r="N51" s="3"/>
      <c r="O51" s="3"/>
      <c r="P51" s="3"/>
      <c r="Q51" s="3"/>
      <c r="R51" s="1"/>
    </row>
    <row x14ac:dyDescent="0.25" r="52" customHeight="1" ht="18.75">
      <c r="A52" s="6"/>
      <c r="B52" s="2"/>
      <c r="C52" s="1"/>
      <c r="D52" s="3"/>
      <c r="E52" s="2"/>
      <c r="F52" s="2"/>
      <c r="G52" s="3"/>
      <c r="H52" s="3"/>
      <c r="I52" s="3"/>
      <c r="J52" s="2"/>
      <c r="K52" s="2"/>
      <c r="L52" s="2"/>
      <c r="M52" s="2"/>
      <c r="N52" s="3"/>
      <c r="O52" s="3"/>
      <c r="P52" s="3"/>
      <c r="Q52" s="3"/>
      <c r="R52" s="1"/>
    </row>
    <row x14ac:dyDescent="0.25" r="53" customHeight="1" ht="18.75">
      <c r="A53" s="6" t="s">
        <v>45</v>
      </c>
      <c r="B53" s="2"/>
      <c r="C53" s="1"/>
      <c r="D53" s="3"/>
      <c r="E53" s="2"/>
      <c r="F53" s="2"/>
      <c r="G53" s="3"/>
      <c r="H53" s="3"/>
      <c r="I53" s="3"/>
      <c r="J53" s="2"/>
      <c r="K53" s="2"/>
      <c r="L53" s="2"/>
      <c r="M53" s="2"/>
      <c r="N53" s="3"/>
      <c r="O53" s="3"/>
      <c r="P53" s="3"/>
      <c r="Q53" s="3"/>
      <c r="R53" s="1"/>
    </row>
    <row x14ac:dyDescent="0.25" r="54" customHeight="1" ht="18.75">
      <c r="A54" s="6" t="s">
        <v>46</v>
      </c>
      <c r="B54" s="2"/>
      <c r="C54" s="1"/>
      <c r="D54" s="3"/>
      <c r="E54" s="2"/>
      <c r="F54" s="2"/>
      <c r="G54" s="3"/>
      <c r="H54" s="3"/>
      <c r="I54" s="3"/>
      <c r="J54" s="2"/>
      <c r="K54" s="2"/>
      <c r="L54" s="2"/>
      <c r="M54" s="2"/>
      <c r="N54" s="3"/>
      <c r="O54" s="3"/>
      <c r="P54" s="3"/>
      <c r="Q54" s="3"/>
      <c r="R54" s="1"/>
    </row>
    <row x14ac:dyDescent="0.25" r="55" customHeight="1" ht="18.75">
      <c r="A55" s="6" t="s">
        <v>47</v>
      </c>
      <c r="B55" s="2"/>
      <c r="C55" s="1"/>
      <c r="D55" s="3"/>
      <c r="E55" s="2"/>
      <c r="F55" s="2"/>
      <c r="G55" s="3"/>
      <c r="H55" s="3"/>
      <c r="I55" s="3"/>
      <c r="J55" s="2"/>
      <c r="K55" s="2"/>
      <c r="L55" s="2"/>
      <c r="M55" s="2"/>
      <c r="N55" s="3"/>
      <c r="O55" s="3"/>
      <c r="P55" s="3"/>
      <c r="Q55" s="3"/>
      <c r="R55" s="1"/>
    </row>
    <row x14ac:dyDescent="0.25" r="56" customHeight="1" ht="18.75">
      <c r="A56" s="6" t="s">
        <v>48</v>
      </c>
      <c r="B56" s="2"/>
      <c r="C56" s="1"/>
      <c r="D56" s="3"/>
      <c r="E56" s="2"/>
      <c r="F56" s="2"/>
      <c r="G56" s="3"/>
      <c r="H56" s="3"/>
      <c r="I56" s="3"/>
      <c r="J56" s="2"/>
      <c r="K56" s="2"/>
      <c r="L56" s="2"/>
      <c r="M56" s="2"/>
      <c r="N56" s="3"/>
      <c r="O56" s="3"/>
      <c r="P56" s="3"/>
      <c r="Q56" s="3"/>
      <c r="R56" s="1"/>
    </row>
    <row x14ac:dyDescent="0.25" r="57" customHeight="1" ht="18.75">
      <c r="A57" s="6" t="s">
        <v>49</v>
      </c>
      <c r="B57" s="2"/>
      <c r="C57" s="1"/>
      <c r="D57" s="3"/>
      <c r="E57" s="2"/>
      <c r="F57" s="2"/>
      <c r="G57" s="3"/>
      <c r="H57" s="3"/>
      <c r="I57" s="3"/>
      <c r="J57" s="2"/>
      <c r="K57" s="2"/>
      <c r="L57" s="2"/>
      <c r="M57" s="2"/>
      <c r="N57" s="3"/>
      <c r="O57" s="3"/>
      <c r="P57" s="3"/>
      <c r="Q57" s="3"/>
      <c r="R57" s="1"/>
    </row>
    <row x14ac:dyDescent="0.25" r="58" customHeight="1" ht="18.75">
      <c r="A58" s="6" t="s">
        <v>50</v>
      </c>
      <c r="B58" s="2"/>
      <c r="C58" s="1"/>
      <c r="D58" s="3"/>
      <c r="E58" s="2"/>
      <c r="F58" s="2"/>
      <c r="G58" s="3"/>
      <c r="H58" s="3"/>
      <c r="I58" s="3"/>
      <c r="J58" s="2"/>
      <c r="K58" s="2"/>
      <c r="L58" s="2"/>
      <c r="M58" s="2"/>
      <c r="N58" s="3"/>
      <c r="O58" s="3"/>
      <c r="P58" s="3"/>
      <c r="Q58" s="3"/>
      <c r="R58" s="1"/>
    </row>
    <row x14ac:dyDescent="0.25" r="59" customHeight="1" ht="18.75">
      <c r="A59" s="6" t="s">
        <v>51</v>
      </c>
      <c r="B59" s="2"/>
      <c r="C59" s="1"/>
      <c r="D59" s="3"/>
      <c r="E59" s="2"/>
      <c r="F59" s="2"/>
      <c r="G59" s="3"/>
      <c r="H59" s="3"/>
      <c r="I59" s="3"/>
      <c r="J59" s="2"/>
      <c r="K59" s="2"/>
      <c r="L59" s="2"/>
      <c r="M59" s="2"/>
      <c r="N59" s="3"/>
      <c r="O59" s="3"/>
      <c r="P59" s="3"/>
      <c r="Q59" s="3"/>
      <c r="R59" s="1"/>
    </row>
    <row x14ac:dyDescent="0.25" r="60" customHeight="1" ht="18.75">
      <c r="A60" s="6"/>
      <c r="B60" s="2"/>
      <c r="C60" s="1"/>
      <c r="D60" s="3"/>
      <c r="E60" s="2"/>
      <c r="F60" s="2"/>
      <c r="G60" s="3"/>
      <c r="H60" s="3"/>
      <c r="I60" s="3"/>
      <c r="J60" s="2"/>
      <c r="K60" s="2"/>
      <c r="L60" s="2"/>
      <c r="M60" s="2"/>
      <c r="N60" s="3"/>
      <c r="O60" s="3"/>
      <c r="P60" s="3"/>
      <c r="Q60" s="3"/>
      <c r="R6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Tortuosity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2024-05-11T03:44:35.037Z</dcterms:created>
  <dcterms:modified xsi:type="dcterms:W3CDTF">2024-05-11T03:44:35.037Z</dcterms:modified>
</cp:coreProperties>
</file>