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8_{2E5A657B-3420-4B6E-BFDA-49C99E8558F3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Tortuosity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4" l="1"/>
  <c r="N26" i="4" s="1"/>
  <c r="L27" i="4"/>
  <c r="L28" i="4"/>
  <c r="N28" i="4" s="1"/>
  <c r="O28" i="4" s="1"/>
  <c r="L29" i="4"/>
  <c r="L30" i="4"/>
  <c r="N30" i="4" s="1"/>
  <c r="L31" i="4"/>
  <c r="L32" i="4"/>
  <c r="N32" i="4" s="1"/>
  <c r="O32" i="4" s="1"/>
  <c r="L33" i="4"/>
  <c r="L34" i="4"/>
  <c r="N34" i="4" s="1"/>
  <c r="L35" i="4"/>
  <c r="L36" i="4"/>
  <c r="N36" i="4" s="1"/>
  <c r="O36" i="4" s="1"/>
  <c r="L37" i="4"/>
  <c r="L38" i="4"/>
  <c r="N38" i="4" s="1"/>
  <c r="L39" i="4"/>
  <c r="L40" i="4"/>
  <c r="N40" i="4" s="1"/>
  <c r="O40" i="4" s="1"/>
  <c r="L41" i="4"/>
  <c r="L42" i="4"/>
  <c r="L43" i="4"/>
  <c r="L44" i="4"/>
  <c r="L45" i="4"/>
  <c r="L46" i="4"/>
  <c r="L47" i="4"/>
  <c r="L48" i="4"/>
  <c r="L49" i="4"/>
  <c r="G48" i="4"/>
  <c r="G46" i="4"/>
  <c r="G44" i="4"/>
  <c r="N44" i="4" s="1"/>
  <c r="O44" i="4" s="1"/>
  <c r="G42" i="4"/>
  <c r="N42" i="4" s="1"/>
  <c r="P38" i="4" l="1"/>
  <c r="P39" i="4"/>
  <c r="O38" i="4"/>
  <c r="P34" i="4"/>
  <c r="P35" i="4"/>
  <c r="O34" i="4"/>
  <c r="P26" i="4"/>
  <c r="P27" i="4"/>
  <c r="O26" i="4"/>
  <c r="P31" i="4"/>
  <c r="P30" i="4"/>
  <c r="O30" i="4"/>
  <c r="P43" i="4"/>
  <c r="P42" i="4"/>
  <c r="O42" i="4"/>
  <c r="F26" i="4"/>
  <c r="F27" i="4"/>
  <c r="F28" i="4"/>
  <c r="F29" i="4"/>
  <c r="F30" i="4"/>
  <c r="F31" i="4"/>
  <c r="F32" i="4"/>
  <c r="F33" i="4"/>
  <c r="F35" i="4"/>
  <c r="F37" i="4"/>
  <c r="F39" i="4"/>
  <c r="F41" i="4"/>
  <c r="F43" i="4"/>
  <c r="F45" i="4"/>
  <c r="F47" i="4"/>
  <c r="F49" i="4"/>
  <c r="D48" i="4"/>
  <c r="F48" i="4" s="1"/>
  <c r="D46" i="4"/>
  <c r="F46" i="4" s="1"/>
  <c r="D44" i="4"/>
  <c r="F44" i="4" s="1"/>
  <c r="D42" i="4"/>
  <c r="F42" i="4" s="1"/>
  <c r="D40" i="4"/>
  <c r="F40" i="4" s="1"/>
  <c r="D38" i="4"/>
  <c r="F38" i="4" s="1"/>
  <c r="D36" i="4"/>
  <c r="F36" i="4" s="1"/>
  <c r="D34" i="4"/>
  <c r="F34" i="4" s="1"/>
  <c r="Q26" i="4" l="1"/>
  <c r="Q27" i="4"/>
  <c r="Q43" i="4"/>
  <c r="Q42" i="4"/>
  <c r="Q38" i="4"/>
  <c r="Q39" i="4"/>
  <c r="Q35" i="4"/>
  <c r="Q34" i="4"/>
  <c r="Q31" i="4"/>
  <c r="Q30" i="4"/>
  <c r="L3" i="4" l="1"/>
  <c r="L4" i="4"/>
  <c r="N4" i="4" s="1"/>
  <c r="O4" i="4" s="1"/>
  <c r="L5" i="4"/>
  <c r="L6" i="4"/>
  <c r="N6" i="4" s="1"/>
  <c r="O6" i="4" s="1"/>
  <c r="L7" i="4"/>
  <c r="L8" i="4"/>
  <c r="N8" i="4" s="1"/>
  <c r="O8" i="4" s="1"/>
  <c r="L9" i="4"/>
  <c r="L10" i="4"/>
  <c r="N10" i="4" s="1"/>
  <c r="O10" i="4" s="1"/>
  <c r="L11" i="4"/>
  <c r="L12" i="4"/>
  <c r="N12" i="4" s="1"/>
  <c r="O12" i="4" s="1"/>
  <c r="L13" i="4"/>
  <c r="L14" i="4"/>
  <c r="N14" i="4" s="1"/>
  <c r="O14" i="4" s="1"/>
  <c r="L15" i="4"/>
  <c r="L16" i="4"/>
  <c r="N16" i="4" s="1"/>
  <c r="O16" i="4" s="1"/>
  <c r="L17" i="4"/>
  <c r="L19" i="4"/>
  <c r="L21" i="4"/>
  <c r="L23" i="4"/>
  <c r="L25" i="4"/>
  <c r="J24" i="4"/>
  <c r="L24" i="4" s="1"/>
  <c r="J22" i="4"/>
  <c r="L22" i="4" s="1"/>
  <c r="J20" i="4"/>
  <c r="L20" i="4" s="1"/>
  <c r="J18" i="4"/>
  <c r="L18" i="4" s="1"/>
  <c r="L2" i="4"/>
  <c r="N2" i="4" s="1"/>
  <c r="O2" i="4" s="1"/>
  <c r="G24" i="4"/>
  <c r="G22" i="4"/>
  <c r="G20" i="4"/>
  <c r="G18" i="4"/>
  <c r="F3" i="4"/>
  <c r="F4" i="4"/>
  <c r="F5" i="4"/>
  <c r="F6" i="4"/>
  <c r="F7" i="4"/>
  <c r="F8" i="4"/>
  <c r="F9" i="4"/>
  <c r="F11" i="4"/>
  <c r="F13" i="4"/>
  <c r="F15" i="4"/>
  <c r="F17" i="4"/>
  <c r="F19" i="4"/>
  <c r="F21" i="4"/>
  <c r="F23" i="4"/>
  <c r="F25" i="4"/>
  <c r="F2" i="4"/>
  <c r="D24" i="4"/>
  <c r="F24" i="4" s="1"/>
  <c r="D22" i="4"/>
  <c r="F22" i="4" s="1"/>
  <c r="D20" i="4"/>
  <c r="F20" i="4" s="1"/>
  <c r="D18" i="4"/>
  <c r="F18" i="4" s="1"/>
  <c r="D16" i="4"/>
  <c r="F16" i="4" s="1"/>
  <c r="D14" i="4"/>
  <c r="F14" i="4" s="1"/>
  <c r="D12" i="4"/>
  <c r="F12" i="4" s="1"/>
  <c r="D10" i="4"/>
  <c r="F10" i="4" s="1"/>
  <c r="N22" i="4" l="1"/>
  <c r="O22" i="4" s="1"/>
  <c r="N24" i="4"/>
  <c r="O24" i="4" s="1"/>
  <c r="N20" i="4"/>
  <c r="O20" i="4" s="1"/>
  <c r="N18" i="4"/>
  <c r="O18" i="4" s="1"/>
</calcChain>
</file>

<file path=xl/sharedStrings.xml><?xml version="1.0" encoding="utf-8"?>
<sst xmlns="http://schemas.openxmlformats.org/spreadsheetml/2006/main" count="99" uniqueCount="52">
  <si>
    <t>Datum</t>
  </si>
  <si>
    <t>Project</t>
  </si>
  <si>
    <t>Abtrag [%]</t>
  </si>
  <si>
    <t xml:space="preserve">Name </t>
  </si>
  <si>
    <t>m_electrode [mg]</t>
  </si>
  <si>
    <t>m_cc [mg]</t>
  </si>
  <si>
    <t>M_coating [mg]</t>
  </si>
  <si>
    <t>Porosity</t>
  </si>
  <si>
    <t>Elyte conduct. [mS/cm]</t>
  </si>
  <si>
    <t>tau</t>
  </si>
  <si>
    <t>McMullin</t>
  </si>
  <si>
    <t>Diameter [cm]</t>
  </si>
  <si>
    <t>coating thickness [µm]</t>
  </si>
  <si>
    <t>Masse Ref coating</t>
  </si>
  <si>
    <t>Comment</t>
  </si>
  <si>
    <t>2* Rion [Ohm] (aus EC-Lab)</t>
  </si>
  <si>
    <t>cc thickness [µm]</t>
  </si>
  <si>
    <t>electr. thickn. [µm]</t>
  </si>
  <si>
    <t>RM_S3_1</t>
  </si>
  <si>
    <t>RM_S3_2</t>
  </si>
  <si>
    <t>RM_S12_1</t>
  </si>
  <si>
    <t>RM_S12_2</t>
  </si>
  <si>
    <t>RM_D3_1</t>
  </si>
  <si>
    <t>RM_D3_2</t>
  </si>
  <si>
    <t>RM_D12_1</t>
  </si>
  <si>
    <t>RM_D12_2</t>
  </si>
  <si>
    <t>RM_DS_3+12_1</t>
  </si>
  <si>
    <t>RM_DS_3+12_2</t>
  </si>
  <si>
    <t>RM_DS_12+3_1</t>
  </si>
  <si>
    <t>RM_DS_12+3_2</t>
  </si>
  <si>
    <t>Stacking electrodes</t>
  </si>
  <si>
    <t>RM_stacked cells second S3_1</t>
  </si>
  <si>
    <t>RM_stacked cells second S3_2</t>
  </si>
  <si>
    <t>RM_stacked cells second S12_1</t>
  </si>
  <si>
    <t>RM_stacked cells second S12_2</t>
  </si>
  <si>
    <t>RM_stacked cells second D3_1</t>
  </si>
  <si>
    <t>RM_stacked cells second D3_2</t>
  </si>
  <si>
    <t>RM_stacked cells second D12_1</t>
  </si>
  <si>
    <t>RM_stacked cells second D12_2</t>
  </si>
  <si>
    <t>RM_stacked cells second DS_3+12_1</t>
  </si>
  <si>
    <t>RM_stacked cells second DS_3+12_2</t>
  </si>
  <si>
    <t>RM_stacked cells second DS_12+3_1</t>
  </si>
  <si>
    <t>RM_stacked cells second DS_12+3_2</t>
  </si>
  <si>
    <t>single electrode 3% PDVF Cell 1</t>
  </si>
  <si>
    <t>single electrode 3% PDVF Cell 2</t>
  </si>
  <si>
    <t>single electrode 12% PDVF Cell 1</t>
  </si>
  <si>
    <t>single electrode 12% PDVF Cell 2</t>
  </si>
  <si>
    <t>Double electrode 3% each on both side</t>
  </si>
  <si>
    <t>D12 double with 12% binder on top of each other</t>
  </si>
  <si>
    <t>DS: 3+12 3 on the bottom and 12 on the top</t>
  </si>
  <si>
    <t>Bharat comments:</t>
  </si>
  <si>
    <t>Line 26 to 49 are to be used with the folder where the EIS data 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</si>
</sst>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2" fontId="1" fillId="2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</cellXfs>
  <cellStyles count="2">
    <cellStyle name="Entry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0"/>
  <sheetViews>
    <sheetView tabSelected="1" zoomScale="70" zoomScaleNormal="70" workbookViewId="0">
      <pane ySplit="1" topLeftCell="A20" activePane="bottomLeft" state="frozen"/>
      <selection pane="bottomLeft" activeCell="D68" sqref="D68"/>
    </sheetView>
  </sheetViews>
  <sheetFormatPr defaultColWidth="11.42578125" defaultRowHeight="15" x14ac:dyDescent="0.25"/>
  <cols>
    <col min="1" max="1" width="64.85546875" style="1" bestFit="1" customWidth="1"/>
    <col min="2" max="2" width="11.42578125" style="1"/>
    <col min="3" max="3" width="25.85546875" style="1" bestFit="1" customWidth="1"/>
    <col min="4" max="4" width="17.28515625" style="1" bestFit="1" customWidth="1"/>
    <col min="5" max="5" width="10" style="1" bestFit="1" customWidth="1"/>
    <col min="6" max="6" width="15.140625" style="1" bestFit="1" customWidth="1"/>
    <col min="7" max="7" width="11.42578125" style="1"/>
    <col min="8" max="8" width="21.7109375" style="1" bestFit="1" customWidth="1"/>
    <col min="9" max="9" width="13.7109375" style="1" bestFit="1" customWidth="1"/>
    <col min="10" max="10" width="18" style="1" bestFit="1" customWidth="1"/>
    <col min="11" max="11" width="16.28515625" style="1" bestFit="1" customWidth="1"/>
    <col min="12" max="12" width="21" style="1" bestFit="1" customWidth="1"/>
    <col min="13" max="13" width="25" style="1" bestFit="1" customWidth="1"/>
    <col min="14" max="15" width="12.7109375" style="1" bestFit="1" customWidth="1"/>
    <col min="16" max="16" width="52.85546875" style="1" customWidth="1"/>
    <col min="17" max="17" width="17" bestFit="1" customWidth="1"/>
  </cols>
  <sheetData>
    <row r="1" spans="1:18" x14ac:dyDescent="0.25">
      <c r="A1" s="1" t="s">
        <v>3</v>
      </c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11</v>
      </c>
      <c r="J1" s="1" t="s">
        <v>17</v>
      </c>
      <c r="K1" s="1" t="s">
        <v>16</v>
      </c>
      <c r="L1" s="1" t="s">
        <v>12</v>
      </c>
      <c r="M1" s="1" t="s">
        <v>15</v>
      </c>
      <c r="N1" s="1" t="s">
        <v>9</v>
      </c>
      <c r="O1" s="1" t="s">
        <v>10</v>
      </c>
      <c r="P1" s="1" t="s">
        <v>14</v>
      </c>
      <c r="Q1" t="s">
        <v>13</v>
      </c>
      <c r="R1" t="s">
        <v>2</v>
      </c>
    </row>
    <row r="2" spans="1:18" x14ac:dyDescent="0.25">
      <c r="A2" s="1" t="s">
        <v>18</v>
      </c>
      <c r="B2" s="1">
        <v>19082018</v>
      </c>
      <c r="C2" s="1" t="s">
        <v>30</v>
      </c>
      <c r="D2" s="1">
        <v>25.105</v>
      </c>
      <c r="E2" s="1">
        <v>0</v>
      </c>
      <c r="F2" s="1">
        <f t="shared" ref="F2:F48" si="0">D2-E2</f>
        <v>25.105</v>
      </c>
      <c r="G2" s="1">
        <v>0.53</v>
      </c>
      <c r="H2" s="1">
        <v>0.35299999999999998</v>
      </c>
      <c r="I2" s="1">
        <v>1.095</v>
      </c>
      <c r="J2" s="1">
        <v>251</v>
      </c>
      <c r="K2" s="1">
        <v>0</v>
      </c>
      <c r="L2" s="1">
        <f t="shared" ref="L2:L15" si="1">J2-K2</f>
        <v>251</v>
      </c>
      <c r="M2" s="1">
        <v>1062</v>
      </c>
      <c r="N2" s="1">
        <f t="shared" ref="N2:N44" si="2">M2*H2/10*(I2^2*PI()/4)/10000*G2/(L2/1000000)/2</f>
        <v>3.7272583324983013</v>
      </c>
      <c r="O2" s="1">
        <f t="shared" ref="O2:O44" si="3">N2/G2</f>
        <v>7.0325628915062284</v>
      </c>
    </row>
    <row r="3" spans="1:18" x14ac:dyDescent="0.25">
      <c r="C3" s="1" t="s">
        <v>30</v>
      </c>
      <c r="E3" s="1">
        <v>0</v>
      </c>
      <c r="F3" s="1">
        <f t="shared" si="0"/>
        <v>0</v>
      </c>
      <c r="H3" s="1">
        <v>0.35299999999999998</v>
      </c>
      <c r="I3" s="1">
        <v>1.095</v>
      </c>
      <c r="K3" s="1">
        <v>0</v>
      </c>
      <c r="L3" s="1">
        <f t="shared" si="1"/>
        <v>0</v>
      </c>
    </row>
    <row r="4" spans="1:18" x14ac:dyDescent="0.25">
      <c r="A4" s="1" t="s">
        <v>19</v>
      </c>
      <c r="B4" s="1">
        <v>19082018</v>
      </c>
      <c r="C4" s="1" t="s">
        <v>30</v>
      </c>
      <c r="D4" s="1">
        <v>31.58</v>
      </c>
      <c r="E4" s="1">
        <v>0</v>
      </c>
      <c r="F4" s="1">
        <f t="shared" si="0"/>
        <v>31.58</v>
      </c>
      <c r="G4" s="1">
        <v>0.52</v>
      </c>
      <c r="H4" s="1">
        <v>0.35299999999999998</v>
      </c>
      <c r="I4" s="1">
        <v>1.095</v>
      </c>
      <c r="J4" s="1">
        <v>309</v>
      </c>
      <c r="K4" s="1">
        <v>0</v>
      </c>
      <c r="L4" s="1">
        <f t="shared" si="1"/>
        <v>309</v>
      </c>
      <c r="M4" s="1">
        <v>1405</v>
      </c>
      <c r="N4" s="1">
        <f t="shared" si="2"/>
        <v>3.9299227889679571</v>
      </c>
      <c r="O4" s="1">
        <f t="shared" si="3"/>
        <v>7.5575438249383788</v>
      </c>
    </row>
    <row r="5" spans="1:18" x14ac:dyDescent="0.25">
      <c r="C5" s="1" t="s">
        <v>30</v>
      </c>
      <c r="E5" s="1">
        <v>0</v>
      </c>
      <c r="F5" s="1">
        <f t="shared" si="0"/>
        <v>0</v>
      </c>
      <c r="H5" s="1">
        <v>0.35299999999999998</v>
      </c>
      <c r="I5" s="1">
        <v>1.095</v>
      </c>
      <c r="K5" s="1">
        <v>0</v>
      </c>
      <c r="L5" s="1">
        <f t="shared" si="1"/>
        <v>0</v>
      </c>
    </row>
    <row r="6" spans="1:18" x14ac:dyDescent="0.25">
      <c r="A6" s="1" t="s">
        <v>20</v>
      </c>
      <c r="B6" s="1">
        <v>19082018</v>
      </c>
      <c r="C6" s="1" t="s">
        <v>30</v>
      </c>
      <c r="D6" s="1">
        <v>6.72</v>
      </c>
      <c r="E6" s="1">
        <v>0</v>
      </c>
      <c r="F6" s="1">
        <f t="shared" si="0"/>
        <v>6.72</v>
      </c>
      <c r="G6" s="1">
        <v>0.56000000000000005</v>
      </c>
      <c r="H6" s="1">
        <v>0.35299999999999998</v>
      </c>
      <c r="I6" s="1">
        <v>1.095</v>
      </c>
      <c r="J6" s="1">
        <v>74</v>
      </c>
      <c r="K6" s="1">
        <v>0</v>
      </c>
      <c r="L6" s="1">
        <f t="shared" si="1"/>
        <v>74</v>
      </c>
      <c r="M6" s="1">
        <v>473</v>
      </c>
      <c r="N6" s="1">
        <f t="shared" si="2"/>
        <v>5.9494973778979565</v>
      </c>
      <c r="O6" s="1">
        <f t="shared" si="3"/>
        <v>10.624102460532065</v>
      </c>
    </row>
    <row r="7" spans="1:18" x14ac:dyDescent="0.25">
      <c r="C7" s="1" t="s">
        <v>30</v>
      </c>
      <c r="E7" s="1">
        <v>0</v>
      </c>
      <c r="F7" s="1">
        <f t="shared" si="0"/>
        <v>0</v>
      </c>
      <c r="H7" s="1">
        <v>0.35299999999999998</v>
      </c>
      <c r="I7" s="1">
        <v>1.095</v>
      </c>
      <c r="K7" s="1">
        <v>0</v>
      </c>
      <c r="L7" s="1">
        <f t="shared" si="1"/>
        <v>0</v>
      </c>
    </row>
    <row r="8" spans="1:18" x14ac:dyDescent="0.25">
      <c r="A8" s="1" t="s">
        <v>21</v>
      </c>
      <c r="B8" s="1">
        <v>19082018</v>
      </c>
      <c r="C8" s="1" t="s">
        <v>30</v>
      </c>
      <c r="D8" s="1">
        <v>6.75</v>
      </c>
      <c r="E8" s="1">
        <v>0</v>
      </c>
      <c r="F8" s="1">
        <f t="shared" si="0"/>
        <v>6.75</v>
      </c>
      <c r="G8" s="1">
        <v>0.56999999999999995</v>
      </c>
      <c r="H8" s="1">
        <v>0.35299999999999998</v>
      </c>
      <c r="I8" s="1">
        <v>1.095</v>
      </c>
      <c r="J8" s="1">
        <v>76</v>
      </c>
      <c r="K8" s="1">
        <v>0</v>
      </c>
      <c r="L8" s="1">
        <f t="shared" si="1"/>
        <v>76</v>
      </c>
      <c r="M8" s="1">
        <v>482</v>
      </c>
      <c r="N8" s="1">
        <f t="shared" si="2"/>
        <v>6.00857008291106</v>
      </c>
      <c r="O8" s="1">
        <f t="shared" si="3"/>
        <v>10.541351022650984</v>
      </c>
    </row>
    <row r="9" spans="1:18" x14ac:dyDescent="0.25">
      <c r="C9" s="1" t="s">
        <v>30</v>
      </c>
      <c r="E9" s="1">
        <v>0</v>
      </c>
      <c r="F9" s="1">
        <f t="shared" si="0"/>
        <v>0</v>
      </c>
      <c r="H9" s="1">
        <v>0.35299999999999998</v>
      </c>
      <c r="I9" s="1">
        <v>1.095</v>
      </c>
      <c r="K9" s="1">
        <v>0</v>
      </c>
      <c r="L9" s="1">
        <f t="shared" si="1"/>
        <v>0</v>
      </c>
    </row>
    <row r="10" spans="1:18" x14ac:dyDescent="0.25">
      <c r="A10" s="1" t="s">
        <v>22</v>
      </c>
      <c r="B10" s="1">
        <v>19082018</v>
      </c>
      <c r="C10" s="1" t="s">
        <v>30</v>
      </c>
      <c r="D10" s="1">
        <f>33.235+32.39</f>
        <v>65.625</v>
      </c>
      <c r="E10" s="1">
        <v>0</v>
      </c>
      <c r="F10" s="1">
        <f t="shared" si="0"/>
        <v>65.625</v>
      </c>
      <c r="G10" s="1">
        <v>0.51500000000000001</v>
      </c>
      <c r="H10" s="1">
        <v>0.35299999999999998</v>
      </c>
      <c r="I10" s="1">
        <v>1.095</v>
      </c>
      <c r="J10" s="1">
        <v>642</v>
      </c>
      <c r="K10" s="1">
        <v>0</v>
      </c>
      <c r="L10" s="1">
        <f t="shared" si="1"/>
        <v>642</v>
      </c>
      <c r="M10" s="1">
        <v>2820</v>
      </c>
      <c r="N10" s="1">
        <f t="shared" si="2"/>
        <v>3.7599679129499939</v>
      </c>
      <c r="O10" s="1">
        <f t="shared" si="3"/>
        <v>7.3009085688349398</v>
      </c>
    </row>
    <row r="11" spans="1:18" x14ac:dyDescent="0.25">
      <c r="C11" s="1" t="s">
        <v>30</v>
      </c>
      <c r="E11" s="1">
        <v>0</v>
      </c>
      <c r="F11" s="1">
        <f t="shared" si="0"/>
        <v>0</v>
      </c>
      <c r="H11" s="1">
        <v>0.35299999999999998</v>
      </c>
      <c r="I11" s="1">
        <v>1.095</v>
      </c>
      <c r="K11" s="1">
        <v>0</v>
      </c>
      <c r="L11" s="1">
        <f t="shared" si="1"/>
        <v>0</v>
      </c>
    </row>
    <row r="12" spans="1:18" x14ac:dyDescent="0.25">
      <c r="A12" s="1" t="s">
        <v>23</v>
      </c>
      <c r="B12" s="1">
        <v>19082018</v>
      </c>
      <c r="C12" s="1" t="s">
        <v>30</v>
      </c>
      <c r="D12" s="1">
        <f>33.71+35.12</f>
        <v>68.83</v>
      </c>
      <c r="E12" s="1">
        <v>0</v>
      </c>
      <c r="F12" s="1">
        <f t="shared" si="0"/>
        <v>68.83</v>
      </c>
      <c r="G12" s="1">
        <v>0.51500000000000001</v>
      </c>
      <c r="H12" s="1">
        <v>0.35299999999999998</v>
      </c>
      <c r="I12" s="1">
        <v>1.095</v>
      </c>
      <c r="J12" s="1">
        <v>673</v>
      </c>
      <c r="K12" s="1">
        <v>0</v>
      </c>
      <c r="L12" s="1">
        <f t="shared" si="1"/>
        <v>673</v>
      </c>
      <c r="M12" s="1">
        <v>3164</v>
      </c>
      <c r="N12" s="1">
        <f t="shared" si="2"/>
        <v>4.0243103821990909</v>
      </c>
      <c r="O12" s="1">
        <f t="shared" si="3"/>
        <v>7.814194916891438</v>
      </c>
    </row>
    <row r="13" spans="1:18" x14ac:dyDescent="0.25">
      <c r="C13" s="1" t="s">
        <v>30</v>
      </c>
      <c r="E13" s="1">
        <v>0</v>
      </c>
      <c r="F13" s="1">
        <f t="shared" si="0"/>
        <v>0</v>
      </c>
      <c r="H13" s="1">
        <v>0.35299999999999998</v>
      </c>
      <c r="I13" s="1">
        <v>1.095</v>
      </c>
      <c r="K13" s="1">
        <v>0</v>
      </c>
      <c r="L13" s="1">
        <f t="shared" si="1"/>
        <v>0</v>
      </c>
    </row>
    <row r="14" spans="1:18" x14ac:dyDescent="0.25">
      <c r="A14" s="1" t="s">
        <v>24</v>
      </c>
      <c r="B14" s="1">
        <v>19082018</v>
      </c>
      <c r="C14" s="1" t="s">
        <v>30</v>
      </c>
      <c r="D14" s="1">
        <f>6.8+6.83</f>
        <v>13.629999999999999</v>
      </c>
      <c r="E14" s="1">
        <v>0</v>
      </c>
      <c r="F14" s="1">
        <f t="shared" si="0"/>
        <v>13.629999999999999</v>
      </c>
      <c r="G14" s="1">
        <v>0.56999999999999995</v>
      </c>
      <c r="H14" s="1">
        <v>0.35299999999999998</v>
      </c>
      <c r="I14" s="1">
        <v>1.095</v>
      </c>
      <c r="J14" s="1">
        <v>154</v>
      </c>
      <c r="K14" s="1">
        <v>0</v>
      </c>
      <c r="L14" s="1">
        <f t="shared" si="1"/>
        <v>154</v>
      </c>
      <c r="M14" s="1">
        <v>1059</v>
      </c>
      <c r="N14" s="1">
        <f t="shared" si="2"/>
        <v>6.5149775630895865</v>
      </c>
      <c r="O14" s="1">
        <f t="shared" si="3"/>
        <v>11.429785198402785</v>
      </c>
    </row>
    <row r="15" spans="1:18" x14ac:dyDescent="0.25">
      <c r="C15" s="1" t="s">
        <v>30</v>
      </c>
      <c r="E15" s="1">
        <v>0</v>
      </c>
      <c r="F15" s="1">
        <f t="shared" si="0"/>
        <v>0</v>
      </c>
      <c r="H15" s="1">
        <v>0.35299999999999998</v>
      </c>
      <c r="I15" s="1">
        <v>1.095</v>
      </c>
      <c r="K15" s="1">
        <v>0</v>
      </c>
      <c r="L15" s="1">
        <f t="shared" si="1"/>
        <v>0</v>
      </c>
    </row>
    <row r="16" spans="1:18" x14ac:dyDescent="0.25">
      <c r="A16" s="1" t="s">
        <v>25</v>
      </c>
      <c r="B16" s="1">
        <v>19082018</v>
      </c>
      <c r="C16" s="1" t="s">
        <v>30</v>
      </c>
      <c r="D16" s="1">
        <f>6.9+6.92</f>
        <v>13.82</v>
      </c>
      <c r="E16" s="1">
        <v>0</v>
      </c>
      <c r="F16" s="1">
        <f t="shared" si="0"/>
        <v>13.82</v>
      </c>
      <c r="G16" s="1">
        <v>0.56999999999999995</v>
      </c>
      <c r="H16" s="1">
        <v>0.35299999999999998</v>
      </c>
      <c r="I16" s="1">
        <v>1.095</v>
      </c>
      <c r="J16" s="1">
        <v>156</v>
      </c>
      <c r="K16" s="1">
        <v>0</v>
      </c>
      <c r="L16" s="1">
        <f t="shared" ref="L16:L49" si="4">J16-K16</f>
        <v>156</v>
      </c>
      <c r="M16" s="1">
        <v>1031</v>
      </c>
      <c r="N16" s="1">
        <f t="shared" si="2"/>
        <v>6.2614043703662503</v>
      </c>
      <c r="O16" s="1">
        <f t="shared" si="3"/>
        <v>10.984919948010967</v>
      </c>
    </row>
    <row r="17" spans="1:17" x14ac:dyDescent="0.25">
      <c r="C17" s="1" t="s">
        <v>30</v>
      </c>
      <c r="E17" s="1">
        <v>0</v>
      </c>
      <c r="F17" s="1">
        <f t="shared" si="0"/>
        <v>0</v>
      </c>
      <c r="H17" s="1">
        <v>0.35299999999999998</v>
      </c>
      <c r="I17" s="1">
        <v>1.095</v>
      </c>
      <c r="K17" s="1">
        <v>0</v>
      </c>
      <c r="L17" s="1">
        <f t="shared" si="4"/>
        <v>0</v>
      </c>
    </row>
    <row r="18" spans="1:17" x14ac:dyDescent="0.25">
      <c r="A18" s="1" t="s">
        <v>26</v>
      </c>
      <c r="B18" s="1">
        <v>19082018</v>
      </c>
      <c r="C18" s="1" t="s">
        <v>30</v>
      </c>
      <c r="D18" s="1">
        <f>26.93+6.655</f>
        <v>33.585000000000001</v>
      </c>
      <c r="E18" s="1">
        <v>0</v>
      </c>
      <c r="F18" s="1">
        <f t="shared" si="0"/>
        <v>33.585000000000001</v>
      </c>
      <c r="G18" s="1">
        <f>73/(270+73)*0.56+270/(270+73)*0.53</f>
        <v>0.53638483965014583</v>
      </c>
      <c r="H18" s="1">
        <v>0.35299999999999998</v>
      </c>
      <c r="I18" s="1">
        <v>1.095</v>
      </c>
      <c r="J18" s="1">
        <f>270+73</f>
        <v>343</v>
      </c>
      <c r="K18" s="1">
        <v>0</v>
      </c>
      <c r="L18" s="1">
        <f t="shared" si="4"/>
        <v>343</v>
      </c>
      <c r="M18" s="1">
        <v>2175</v>
      </c>
      <c r="N18" s="1">
        <f t="shared" si="2"/>
        <v>5.6533316667081097</v>
      </c>
      <c r="O18" s="1">
        <f t="shared" si="3"/>
        <v>10.539693236660948</v>
      </c>
    </row>
    <row r="19" spans="1:17" x14ac:dyDescent="0.25">
      <c r="C19" s="1" t="s">
        <v>30</v>
      </c>
      <c r="E19" s="1">
        <v>0</v>
      </c>
      <c r="F19" s="1">
        <f t="shared" si="0"/>
        <v>0</v>
      </c>
      <c r="H19" s="1">
        <v>0.35299999999999998</v>
      </c>
      <c r="I19" s="1">
        <v>1.095</v>
      </c>
      <c r="K19" s="1">
        <v>0</v>
      </c>
      <c r="L19" s="1">
        <f t="shared" si="4"/>
        <v>0</v>
      </c>
    </row>
    <row r="20" spans="1:17" x14ac:dyDescent="0.25">
      <c r="A20" s="1" t="s">
        <v>27</v>
      </c>
      <c r="B20" s="1">
        <v>19082018</v>
      </c>
      <c r="C20" s="1" t="s">
        <v>30</v>
      </c>
      <c r="D20" s="1">
        <f>27.17+6.67</f>
        <v>33.840000000000003</v>
      </c>
      <c r="E20" s="1">
        <v>0</v>
      </c>
      <c r="F20" s="1">
        <f t="shared" si="0"/>
        <v>33.840000000000003</v>
      </c>
      <c r="G20" s="1">
        <f>73/(270+74)*0.56+270/(270+74)*0.52</f>
        <v>0.52697674418604645</v>
      </c>
      <c r="H20" s="1">
        <v>0.35299999999999998</v>
      </c>
      <c r="I20" s="1">
        <v>1.095</v>
      </c>
      <c r="J20" s="1">
        <f>270+74</f>
        <v>344</v>
      </c>
      <c r="K20" s="1">
        <v>0</v>
      </c>
      <c r="L20" s="1">
        <f t="shared" si="4"/>
        <v>344</v>
      </c>
      <c r="M20" s="1">
        <v>2316</v>
      </c>
      <c r="N20" s="1">
        <f t="shared" si="2"/>
        <v>5.8970443211877628</v>
      </c>
      <c r="O20" s="1">
        <f t="shared" si="3"/>
        <v>11.190331236146241</v>
      </c>
    </row>
    <row r="21" spans="1:17" x14ac:dyDescent="0.25">
      <c r="C21" s="1" t="s">
        <v>30</v>
      </c>
      <c r="E21" s="1">
        <v>0</v>
      </c>
      <c r="F21" s="1">
        <f t="shared" si="0"/>
        <v>0</v>
      </c>
      <c r="H21" s="1">
        <v>0.35299999999999998</v>
      </c>
      <c r="I21" s="1">
        <v>1.095</v>
      </c>
      <c r="K21" s="1">
        <v>0</v>
      </c>
      <c r="L21" s="1">
        <f t="shared" si="4"/>
        <v>0</v>
      </c>
    </row>
    <row r="22" spans="1:17" x14ac:dyDescent="0.25">
      <c r="A22" s="1" t="s">
        <v>28</v>
      </c>
      <c r="B22" s="1">
        <v>19082018</v>
      </c>
      <c r="C22" s="1" t="s">
        <v>30</v>
      </c>
      <c r="D22" s="1">
        <f>28.455+7</f>
        <v>35.454999999999998</v>
      </c>
      <c r="E22" s="1">
        <v>0</v>
      </c>
      <c r="F22" s="1">
        <f t="shared" si="0"/>
        <v>35.454999999999998</v>
      </c>
      <c r="G22" s="1">
        <f>79/(283+79)*0.57+283/(283+79)*0.52</f>
        <v>0.53091160220994471</v>
      </c>
      <c r="H22" s="1">
        <v>0.35299999999999998</v>
      </c>
      <c r="I22" s="1">
        <v>1.095</v>
      </c>
      <c r="J22" s="1">
        <f>283+79</f>
        <v>362</v>
      </c>
      <c r="K22" s="1">
        <v>0</v>
      </c>
      <c r="L22" s="1">
        <f t="shared" si="4"/>
        <v>362</v>
      </c>
      <c r="M22" s="1">
        <v>1495</v>
      </c>
      <c r="N22" s="1">
        <f t="shared" si="2"/>
        <v>3.6443297622055382</v>
      </c>
      <c r="O22" s="1">
        <f t="shared" si="3"/>
        <v>6.8642872881960812</v>
      </c>
    </row>
    <row r="23" spans="1:17" x14ac:dyDescent="0.25">
      <c r="C23" s="1" t="s">
        <v>30</v>
      </c>
      <c r="E23" s="1">
        <v>0</v>
      </c>
      <c r="F23" s="1">
        <f t="shared" si="0"/>
        <v>0</v>
      </c>
      <c r="H23" s="1">
        <v>0.35299999999999998</v>
      </c>
      <c r="I23" s="1">
        <v>1.095</v>
      </c>
      <c r="K23" s="1">
        <v>0</v>
      </c>
      <c r="L23" s="1">
        <f t="shared" si="4"/>
        <v>0</v>
      </c>
    </row>
    <row r="24" spans="1:17" x14ac:dyDescent="0.25">
      <c r="A24" s="1" t="s">
        <v>29</v>
      </c>
      <c r="B24" s="1">
        <v>19082018</v>
      </c>
      <c r="C24" s="1" t="s">
        <v>30</v>
      </c>
      <c r="D24" s="1">
        <f>28.82+7.195</f>
        <v>36.015000000000001</v>
      </c>
      <c r="E24" s="1">
        <v>0</v>
      </c>
      <c r="F24" s="1">
        <f t="shared" si="0"/>
        <v>36.015000000000001</v>
      </c>
      <c r="G24" s="1">
        <f>80/(284+80)*0.56+284/(284+80)*0.52</f>
        <v>0.52879120879120878</v>
      </c>
      <c r="H24" s="1">
        <v>0.35299999999999998</v>
      </c>
      <c r="I24" s="1">
        <v>1.095</v>
      </c>
      <c r="J24" s="1">
        <f>284+80</f>
        <v>364</v>
      </c>
      <c r="K24" s="1">
        <v>0</v>
      </c>
      <c r="L24" s="1">
        <f t="shared" si="4"/>
        <v>364</v>
      </c>
      <c r="M24" s="1">
        <v>1631</v>
      </c>
      <c r="N24" s="1">
        <f t="shared" si="2"/>
        <v>3.9382169149860169</v>
      </c>
      <c r="O24" s="1">
        <f t="shared" si="3"/>
        <v>7.4475839414739724</v>
      </c>
    </row>
    <row r="25" spans="1:17" x14ac:dyDescent="0.25">
      <c r="C25" s="1" t="s">
        <v>30</v>
      </c>
      <c r="E25" s="1">
        <v>0</v>
      </c>
      <c r="F25" s="1">
        <f t="shared" si="0"/>
        <v>0</v>
      </c>
      <c r="H25" s="1">
        <v>0.35299999999999998</v>
      </c>
      <c r="I25" s="1">
        <v>1.095</v>
      </c>
      <c r="K25" s="1">
        <v>0</v>
      </c>
      <c r="L25" s="1">
        <f t="shared" si="4"/>
        <v>0</v>
      </c>
    </row>
    <row r="26" spans="1:17" x14ac:dyDescent="0.25">
      <c r="A26" s="1" t="s">
        <v>31</v>
      </c>
      <c r="B26" s="1">
        <v>20180903</v>
      </c>
      <c r="C26" s="1" t="s">
        <v>30</v>
      </c>
      <c r="D26" s="1">
        <v>26.48</v>
      </c>
      <c r="E26" s="1">
        <v>0</v>
      </c>
      <c r="F26" s="1">
        <f t="shared" si="0"/>
        <v>26.48</v>
      </c>
      <c r="G26" s="1">
        <v>0.53</v>
      </c>
      <c r="H26" s="1">
        <v>0.35299999999999998</v>
      </c>
      <c r="I26" s="1">
        <v>1.095</v>
      </c>
      <c r="J26" s="1">
        <v>268</v>
      </c>
      <c r="K26" s="1">
        <v>0</v>
      </c>
      <c r="L26" s="1">
        <f t="shared" si="4"/>
        <v>268</v>
      </c>
      <c r="M26" s="1">
        <v>986</v>
      </c>
      <c r="N26" s="1">
        <f t="shared" si="2"/>
        <v>3.2410133501864777</v>
      </c>
      <c r="O26" s="1">
        <f t="shared" si="3"/>
        <v>6.1151195286537314</v>
      </c>
      <c r="P26" s="1">
        <f>(N26+N28)/2</f>
        <v>3.2495095561687588</v>
      </c>
      <c r="Q26" s="1">
        <f>(O26+O28)/2</f>
        <v>6.1902576125490185</v>
      </c>
    </row>
    <row r="27" spans="1:17" x14ac:dyDescent="0.25">
      <c r="C27" s="1" t="s">
        <v>30</v>
      </c>
      <c r="E27" s="1">
        <v>0</v>
      </c>
      <c r="F27" s="1">
        <f t="shared" si="0"/>
        <v>0</v>
      </c>
      <c r="H27" s="1">
        <v>0.35299999999999998</v>
      </c>
      <c r="I27" s="1">
        <v>1.095</v>
      </c>
      <c r="K27" s="1">
        <v>0</v>
      </c>
      <c r="L27" s="1">
        <f t="shared" si="4"/>
        <v>0</v>
      </c>
      <c r="P27" s="1">
        <f>_xlfn.STDEV.P(N26,N28)</f>
        <v>8.4962059822808467E-3</v>
      </c>
      <c r="Q27" s="1">
        <f>_xlfn.STDEV.P(O26,O28)</f>
        <v>7.5138083895287533E-2</v>
      </c>
    </row>
    <row r="28" spans="1:17" x14ac:dyDescent="0.25">
      <c r="A28" s="1" t="s">
        <v>32</v>
      </c>
      <c r="B28" s="1">
        <v>20180903</v>
      </c>
      <c r="C28" s="1" t="s">
        <v>30</v>
      </c>
      <c r="D28" s="1">
        <v>27.06</v>
      </c>
      <c r="E28" s="1">
        <v>0</v>
      </c>
      <c r="F28" s="1">
        <f t="shared" si="0"/>
        <v>27.06</v>
      </c>
      <c r="G28" s="1">
        <v>0.52</v>
      </c>
      <c r="H28" s="1">
        <v>0.35299999999999998</v>
      </c>
      <c r="I28" s="1">
        <v>1.095</v>
      </c>
      <c r="J28" s="1">
        <v>269</v>
      </c>
      <c r="K28" s="1">
        <v>0</v>
      </c>
      <c r="L28" s="1">
        <f t="shared" si="4"/>
        <v>269</v>
      </c>
      <c r="M28" s="1">
        <v>1014</v>
      </c>
      <c r="N28" s="1">
        <f t="shared" si="2"/>
        <v>3.2580057621510394</v>
      </c>
      <c r="O28" s="1">
        <f t="shared" si="3"/>
        <v>6.2653956964443065</v>
      </c>
    </row>
    <row r="29" spans="1:17" x14ac:dyDescent="0.25">
      <c r="C29" s="1" t="s">
        <v>30</v>
      </c>
      <c r="E29" s="1">
        <v>0</v>
      </c>
      <c r="F29" s="1">
        <f t="shared" si="0"/>
        <v>0</v>
      </c>
      <c r="H29" s="1">
        <v>0.35299999999999998</v>
      </c>
      <c r="I29" s="1">
        <v>1.095</v>
      </c>
      <c r="K29" s="1">
        <v>0</v>
      </c>
      <c r="L29" s="1">
        <f t="shared" si="4"/>
        <v>0</v>
      </c>
    </row>
    <row r="30" spans="1:17" x14ac:dyDescent="0.25">
      <c r="A30" s="1" t="s">
        <v>33</v>
      </c>
      <c r="B30" s="1">
        <v>20180903</v>
      </c>
      <c r="C30" s="1" t="s">
        <v>30</v>
      </c>
      <c r="D30" s="1">
        <v>6.41</v>
      </c>
      <c r="E30" s="1">
        <v>0</v>
      </c>
      <c r="F30" s="1">
        <f t="shared" si="0"/>
        <v>6.41</v>
      </c>
      <c r="G30" s="1">
        <v>0.41</v>
      </c>
      <c r="H30" s="1">
        <v>0.35299999999999998</v>
      </c>
      <c r="I30" s="1">
        <v>1.095</v>
      </c>
      <c r="J30" s="1">
        <v>52</v>
      </c>
      <c r="K30" s="1">
        <v>0</v>
      </c>
      <c r="L30" s="1">
        <f t="shared" si="4"/>
        <v>52</v>
      </c>
      <c r="M30" s="1">
        <v>417</v>
      </c>
      <c r="N30" s="1">
        <f t="shared" si="2"/>
        <v>5.4648644913038851</v>
      </c>
      <c r="O30" s="1">
        <f t="shared" si="3"/>
        <v>13.328937783668014</v>
      </c>
      <c r="P30" s="1">
        <f>(N30+N32)/2</f>
        <v>5.3927504274356783</v>
      </c>
      <c r="Q30" s="1">
        <f>(O30+O32)/2</f>
        <v>12.851255361098509</v>
      </c>
    </row>
    <row r="31" spans="1:17" x14ac:dyDescent="0.25">
      <c r="C31" s="1" t="s">
        <v>30</v>
      </c>
      <c r="E31" s="1">
        <v>0</v>
      </c>
      <c r="F31" s="1">
        <f t="shared" si="0"/>
        <v>0</v>
      </c>
      <c r="H31" s="1">
        <v>0.35299999999999998</v>
      </c>
      <c r="I31" s="1">
        <v>1.095</v>
      </c>
      <c r="K31" s="1">
        <v>0</v>
      </c>
      <c r="L31" s="1">
        <f t="shared" si="4"/>
        <v>0</v>
      </c>
      <c r="P31" s="1">
        <f>_xlfn.STDEV.P(N30,N32)</f>
        <v>7.2114063868206735E-2</v>
      </c>
      <c r="Q31" s="1">
        <f>_xlfn.STDEV.P(O30,O32)</f>
        <v>0.47768242256950533</v>
      </c>
    </row>
    <row r="32" spans="1:17" x14ac:dyDescent="0.25">
      <c r="A32" s="1" t="s">
        <v>34</v>
      </c>
      <c r="B32" s="1">
        <v>20180903</v>
      </c>
      <c r="C32" s="1" t="s">
        <v>30</v>
      </c>
      <c r="D32" s="1">
        <v>6.4950000000000001</v>
      </c>
      <c r="E32" s="1">
        <v>0</v>
      </c>
      <c r="F32" s="1">
        <f t="shared" si="0"/>
        <v>6.4950000000000001</v>
      </c>
      <c r="G32" s="1">
        <v>0.43</v>
      </c>
      <c r="H32" s="1">
        <v>0.35299999999999998</v>
      </c>
      <c r="I32" s="1">
        <v>1.095</v>
      </c>
      <c r="J32" s="1">
        <v>54</v>
      </c>
      <c r="K32" s="1">
        <v>0</v>
      </c>
      <c r="L32" s="1">
        <f t="shared" si="4"/>
        <v>54</v>
      </c>
      <c r="M32" s="1">
        <v>402</v>
      </c>
      <c r="N32" s="1">
        <f t="shared" si="2"/>
        <v>5.3206363635674716</v>
      </c>
      <c r="O32" s="1">
        <f t="shared" si="3"/>
        <v>12.373572938529003</v>
      </c>
    </row>
    <row r="33" spans="1:17" x14ac:dyDescent="0.25">
      <c r="C33" s="1" t="s">
        <v>30</v>
      </c>
      <c r="E33" s="1">
        <v>0</v>
      </c>
      <c r="F33" s="1">
        <f t="shared" si="0"/>
        <v>0</v>
      </c>
      <c r="H33" s="1">
        <v>0.35299999999999998</v>
      </c>
      <c r="I33" s="1">
        <v>1.095</v>
      </c>
      <c r="K33" s="1">
        <v>0</v>
      </c>
      <c r="L33" s="1">
        <f t="shared" si="4"/>
        <v>0</v>
      </c>
    </row>
    <row r="34" spans="1:17" x14ac:dyDescent="0.25">
      <c r="A34" s="1" t="s">
        <v>35</v>
      </c>
      <c r="B34" s="1">
        <v>20180903</v>
      </c>
      <c r="C34" s="1" t="s">
        <v>30</v>
      </c>
      <c r="D34" s="1">
        <f>29.19+29.51</f>
        <v>58.7</v>
      </c>
      <c r="E34" s="1">
        <v>0</v>
      </c>
      <c r="F34" s="1">
        <f t="shared" si="0"/>
        <v>58.7</v>
      </c>
      <c r="G34" s="1">
        <v>0.52</v>
      </c>
      <c r="H34" s="1">
        <v>0.35299999999999998</v>
      </c>
      <c r="I34" s="1">
        <v>1.095</v>
      </c>
      <c r="J34" s="1">
        <v>580</v>
      </c>
      <c r="K34" s="1">
        <v>0</v>
      </c>
      <c r="L34" s="1">
        <f t="shared" si="4"/>
        <v>580</v>
      </c>
      <c r="M34" s="1">
        <v>2217</v>
      </c>
      <c r="N34" s="1">
        <f t="shared" si="2"/>
        <v>3.303724869739681</v>
      </c>
      <c r="O34" s="1">
        <f t="shared" si="3"/>
        <v>6.3533170571916937</v>
      </c>
      <c r="P34" s="1">
        <f>(N34+N36)/2</f>
        <v>3.2049870742402522</v>
      </c>
      <c r="Q34" s="1">
        <f>(O34+O36)/2</f>
        <v>6.1634366812312544</v>
      </c>
    </row>
    <row r="35" spans="1:17" x14ac:dyDescent="0.25">
      <c r="C35" s="1" t="s">
        <v>30</v>
      </c>
      <c r="E35" s="1">
        <v>0</v>
      </c>
      <c r="F35" s="1">
        <f t="shared" si="0"/>
        <v>0</v>
      </c>
      <c r="H35" s="1">
        <v>0.35299999999999998</v>
      </c>
      <c r="I35" s="1">
        <v>1.095</v>
      </c>
      <c r="K35" s="1">
        <v>0</v>
      </c>
      <c r="L35" s="1">
        <f t="shared" si="4"/>
        <v>0</v>
      </c>
      <c r="P35" s="1">
        <f>_xlfn.STDEV.P(N34,N36)</f>
        <v>9.8737795499428627E-2</v>
      </c>
      <c r="Q35" s="1">
        <f>_xlfn.STDEV.P(O34,O36)</f>
        <v>0.18988037596043927</v>
      </c>
    </row>
    <row r="36" spans="1:17" x14ac:dyDescent="0.25">
      <c r="A36" s="1" t="s">
        <v>36</v>
      </c>
      <c r="B36" s="1">
        <v>20180903</v>
      </c>
      <c r="C36" s="1" t="s">
        <v>30</v>
      </c>
      <c r="D36" s="1">
        <f>29.735+30.105</f>
        <v>59.84</v>
      </c>
      <c r="E36" s="1">
        <v>0</v>
      </c>
      <c r="F36" s="1">
        <f t="shared" si="0"/>
        <v>59.84</v>
      </c>
      <c r="G36" s="1">
        <v>0.52</v>
      </c>
      <c r="H36" s="1">
        <v>0.35299999999999998</v>
      </c>
      <c r="I36" s="1">
        <v>1.095</v>
      </c>
      <c r="J36" s="1">
        <v>593.5</v>
      </c>
      <c r="K36" s="1">
        <v>0</v>
      </c>
      <c r="L36" s="1">
        <f t="shared" si="4"/>
        <v>593.5</v>
      </c>
      <c r="M36" s="1">
        <v>2133</v>
      </c>
      <c r="N36" s="1">
        <f t="shared" si="2"/>
        <v>3.1062492787408238</v>
      </c>
      <c r="O36" s="1">
        <f t="shared" si="3"/>
        <v>5.9735563052708152</v>
      </c>
    </row>
    <row r="37" spans="1:17" x14ac:dyDescent="0.25">
      <c r="C37" s="1" t="s">
        <v>30</v>
      </c>
      <c r="E37" s="1">
        <v>0</v>
      </c>
      <c r="F37" s="1">
        <f t="shared" si="0"/>
        <v>0</v>
      </c>
      <c r="H37" s="1">
        <v>0.35299999999999998</v>
      </c>
      <c r="I37" s="1">
        <v>1.095</v>
      </c>
      <c r="K37" s="1">
        <v>0</v>
      </c>
      <c r="L37" s="1">
        <f t="shared" si="4"/>
        <v>0</v>
      </c>
    </row>
    <row r="38" spans="1:17" x14ac:dyDescent="0.25">
      <c r="A38" s="1" t="s">
        <v>37</v>
      </c>
      <c r="B38" s="1">
        <v>20180903</v>
      </c>
      <c r="C38" s="1" t="s">
        <v>30</v>
      </c>
      <c r="D38" s="1">
        <f>(6.52+6.645)</f>
        <v>13.164999999999999</v>
      </c>
      <c r="E38" s="1">
        <v>0</v>
      </c>
      <c r="F38" s="1">
        <f t="shared" si="0"/>
        <v>13.164999999999999</v>
      </c>
      <c r="G38" s="1">
        <v>0.41</v>
      </c>
      <c r="H38" s="1">
        <v>0.35299999999999998</v>
      </c>
      <c r="I38" s="1">
        <v>1.095</v>
      </c>
      <c r="J38" s="1">
        <v>106</v>
      </c>
      <c r="K38" s="1">
        <v>0</v>
      </c>
      <c r="L38" s="1">
        <f t="shared" si="4"/>
        <v>106</v>
      </c>
      <c r="M38" s="1">
        <v>912</v>
      </c>
      <c r="N38" s="1">
        <f t="shared" si="2"/>
        <v>5.8632128328038418</v>
      </c>
      <c r="O38" s="1">
        <f t="shared" si="3"/>
        <v>14.300519104399616</v>
      </c>
      <c r="P38" s="1">
        <f>(N38+N40)/2</f>
        <v>6.0329474950591866</v>
      </c>
      <c r="Q38" s="1">
        <f>(O38+O40)/2</f>
        <v>14.36268066535624</v>
      </c>
    </row>
    <row r="39" spans="1:17" x14ac:dyDescent="0.25">
      <c r="C39" s="1" t="s">
        <v>30</v>
      </c>
      <c r="E39" s="1">
        <v>0</v>
      </c>
      <c r="F39" s="1">
        <f t="shared" si="0"/>
        <v>0</v>
      </c>
      <c r="H39" s="1">
        <v>0.35299999999999998</v>
      </c>
      <c r="I39" s="1">
        <v>1.095</v>
      </c>
      <c r="K39" s="1">
        <v>0</v>
      </c>
      <c r="L39" s="1">
        <f t="shared" si="4"/>
        <v>0</v>
      </c>
      <c r="P39" s="1">
        <f>_xlfn.STDEV.P(N38,N40)</f>
        <v>0.16973466225534528</v>
      </c>
      <c r="Q39" s="1">
        <f>_xlfn.STDEV.P(O38,O40)</f>
        <v>6.2161560956624839E-2</v>
      </c>
    </row>
    <row r="40" spans="1:17" x14ac:dyDescent="0.25">
      <c r="A40" s="1" t="s">
        <v>38</v>
      </c>
      <c r="B40" s="1">
        <v>20180903</v>
      </c>
      <c r="C40" s="1" t="s">
        <v>30</v>
      </c>
      <c r="D40" s="1">
        <f>6.555+6.925</f>
        <v>13.48</v>
      </c>
      <c r="E40" s="1">
        <v>0</v>
      </c>
      <c r="F40" s="1">
        <f t="shared" si="0"/>
        <v>13.48</v>
      </c>
      <c r="G40" s="1">
        <v>0.43</v>
      </c>
      <c r="H40" s="1">
        <v>0.35299999999999998</v>
      </c>
      <c r="I40" s="1">
        <v>1.095</v>
      </c>
      <c r="J40" s="1">
        <v>112</v>
      </c>
      <c r="K40" s="1">
        <v>0</v>
      </c>
      <c r="L40" s="1">
        <f t="shared" si="4"/>
        <v>112</v>
      </c>
      <c r="M40" s="1">
        <v>972</v>
      </c>
      <c r="N40" s="1">
        <f t="shared" si="2"/>
        <v>6.2026821573145323</v>
      </c>
      <c r="O40" s="1">
        <f t="shared" si="3"/>
        <v>14.424842226312865</v>
      </c>
    </row>
    <row r="41" spans="1:17" x14ac:dyDescent="0.25">
      <c r="C41" s="1" t="s">
        <v>30</v>
      </c>
      <c r="E41" s="1">
        <v>0</v>
      </c>
      <c r="F41" s="1">
        <f t="shared" si="0"/>
        <v>0</v>
      </c>
      <c r="H41" s="1">
        <v>0.35299999999999998</v>
      </c>
      <c r="I41" s="1">
        <v>1.095</v>
      </c>
      <c r="K41" s="1">
        <v>0</v>
      </c>
      <c r="L41" s="1">
        <f t="shared" si="4"/>
        <v>0</v>
      </c>
    </row>
    <row r="42" spans="1:17" x14ac:dyDescent="0.25">
      <c r="A42" s="1" t="s">
        <v>39</v>
      </c>
      <c r="B42" s="1">
        <v>20180903</v>
      </c>
      <c r="C42" s="1" t="s">
        <v>30</v>
      </c>
      <c r="D42" s="1">
        <f>27.825+6.655</f>
        <v>34.479999999999997</v>
      </c>
      <c r="E42" s="1">
        <v>0</v>
      </c>
      <c r="F42" s="1">
        <f t="shared" si="0"/>
        <v>34.479999999999997</v>
      </c>
      <c r="G42" s="1">
        <f>52/(277+52)*0.38+277/(277+52)*0.51</f>
        <v>0.48945288753799387</v>
      </c>
      <c r="H42" s="1">
        <v>0.35299999999999998</v>
      </c>
      <c r="I42" s="1">
        <v>1.095</v>
      </c>
      <c r="J42" s="1">
        <v>329</v>
      </c>
      <c r="K42" s="1">
        <v>0</v>
      </c>
      <c r="L42" s="1">
        <f t="shared" si="4"/>
        <v>329</v>
      </c>
      <c r="M42" s="1">
        <v>1968</v>
      </c>
      <c r="N42" s="1">
        <f t="shared" si="2"/>
        <v>4.8663452861007856</v>
      </c>
      <c r="O42" s="1">
        <f t="shared" si="3"/>
        <v>9.9424181775269123</v>
      </c>
      <c r="P42" s="1">
        <f>(N42+N44)/2</f>
        <v>4.7946391497643432</v>
      </c>
      <c r="Q42" s="1">
        <f>(O42+O44)/2</f>
        <v>9.756029601032683</v>
      </c>
    </row>
    <row r="43" spans="1:17" x14ac:dyDescent="0.25">
      <c r="C43" s="1" t="s">
        <v>30</v>
      </c>
      <c r="E43" s="1">
        <v>0</v>
      </c>
      <c r="F43" s="1">
        <f t="shared" si="0"/>
        <v>0</v>
      </c>
      <c r="H43" s="1">
        <v>0.35299999999999998</v>
      </c>
      <c r="I43" s="1">
        <v>1.095</v>
      </c>
      <c r="K43" s="1">
        <v>0</v>
      </c>
      <c r="L43" s="1">
        <f t="shared" si="4"/>
        <v>0</v>
      </c>
      <c r="P43" s="1">
        <f>_xlfn.STDEV.P(N42,N44)</f>
        <v>7.1706136336442849E-2</v>
      </c>
      <c r="Q43" s="1">
        <f>_xlfn.STDEV.P(O42,O44)</f>
        <v>0.18638857649422924</v>
      </c>
    </row>
    <row r="44" spans="1:17" x14ac:dyDescent="0.25">
      <c r="A44" s="1" t="s">
        <v>40</v>
      </c>
      <c r="B44" s="1">
        <v>20180903</v>
      </c>
      <c r="C44" s="1" t="s">
        <v>30</v>
      </c>
      <c r="D44" s="1">
        <f>28.07+6.715</f>
        <v>34.784999999999997</v>
      </c>
      <c r="E44" s="1">
        <v>0</v>
      </c>
      <c r="F44" s="1">
        <f t="shared" si="0"/>
        <v>34.784999999999997</v>
      </c>
      <c r="G44" s="1">
        <f>55/(279+55)*0.41+279/(279+55)*0.51</f>
        <v>0.49353293413173649</v>
      </c>
      <c r="H44" s="1">
        <v>0.35299999999999998</v>
      </c>
      <c r="I44" s="1">
        <v>1.095</v>
      </c>
      <c r="J44" s="1">
        <v>334</v>
      </c>
      <c r="K44" s="1">
        <v>0</v>
      </c>
      <c r="L44" s="1">
        <f t="shared" si="4"/>
        <v>334</v>
      </c>
      <c r="M44" s="1">
        <v>1923</v>
      </c>
      <c r="N44" s="1">
        <f t="shared" si="2"/>
        <v>4.7229330134279</v>
      </c>
      <c r="O44" s="1">
        <f t="shared" si="3"/>
        <v>9.5696410245384538</v>
      </c>
    </row>
    <row r="45" spans="1:17" x14ac:dyDescent="0.25">
      <c r="C45" s="1" t="s">
        <v>30</v>
      </c>
      <c r="E45" s="1">
        <v>0</v>
      </c>
      <c r="F45" s="1">
        <f t="shared" si="0"/>
        <v>0</v>
      </c>
      <c r="H45" s="1">
        <v>0.35299999999999998</v>
      </c>
      <c r="I45" s="1">
        <v>1.095</v>
      </c>
      <c r="K45" s="1">
        <v>0</v>
      </c>
      <c r="L45" s="1">
        <f t="shared" si="4"/>
        <v>0</v>
      </c>
    </row>
    <row r="46" spans="1:17" x14ac:dyDescent="0.25">
      <c r="A46" s="1" t="s">
        <v>41</v>
      </c>
      <c r="B46" s="1">
        <v>20180903</v>
      </c>
      <c r="C46" s="1" t="s">
        <v>30</v>
      </c>
      <c r="D46" s="1">
        <f>28.195+6.84</f>
        <v>35.034999999999997</v>
      </c>
      <c r="E46" s="1">
        <v>0</v>
      </c>
      <c r="F46" s="1">
        <f t="shared" si="0"/>
        <v>35.034999999999997</v>
      </c>
      <c r="G46" s="1">
        <f>57/(285+57)*0.42+285/(285+57)*0.52</f>
        <v>0.5033333333333333</v>
      </c>
      <c r="H46" s="1">
        <v>0.35299999999999998</v>
      </c>
      <c r="I46" s="1">
        <v>1.095</v>
      </c>
      <c r="J46" s="1">
        <v>342</v>
      </c>
      <c r="K46" s="1">
        <v>0</v>
      </c>
      <c r="L46" s="1">
        <f t="shared" si="4"/>
        <v>342</v>
      </c>
    </row>
    <row r="47" spans="1:17" x14ac:dyDescent="0.25">
      <c r="C47" s="1" t="s">
        <v>30</v>
      </c>
      <c r="E47" s="1">
        <v>0</v>
      </c>
      <c r="F47" s="1">
        <f t="shared" si="0"/>
        <v>0</v>
      </c>
      <c r="H47" s="1">
        <v>0.35299999999999998</v>
      </c>
      <c r="I47" s="1">
        <v>1.095</v>
      </c>
      <c r="K47" s="1">
        <v>0</v>
      </c>
      <c r="L47" s="1">
        <f t="shared" si="4"/>
        <v>0</v>
      </c>
    </row>
    <row r="48" spans="1:17" x14ac:dyDescent="0.25">
      <c r="A48" s="1" t="s">
        <v>42</v>
      </c>
      <c r="B48" s="1">
        <v>20180903</v>
      </c>
      <c r="C48" s="1" t="s">
        <v>30</v>
      </c>
      <c r="D48" s="1">
        <f>28.76+6.865</f>
        <v>35.625</v>
      </c>
      <c r="E48" s="1">
        <v>0</v>
      </c>
      <c r="F48" s="1">
        <f t="shared" si="0"/>
        <v>35.625</v>
      </c>
      <c r="G48" s="1">
        <f>55/(287+55)*0.39+287/(287+55)*0.51</f>
        <v>0.49070175438596486</v>
      </c>
      <c r="H48" s="1">
        <v>0.35299999999999998</v>
      </c>
      <c r="I48" s="1">
        <v>1.095</v>
      </c>
      <c r="J48" s="1">
        <v>342</v>
      </c>
      <c r="K48" s="1">
        <v>0</v>
      </c>
      <c r="L48" s="1">
        <f t="shared" si="4"/>
        <v>342</v>
      </c>
    </row>
    <row r="49" spans="1:12" x14ac:dyDescent="0.25">
      <c r="C49" s="1" t="s">
        <v>30</v>
      </c>
      <c r="E49" s="1">
        <v>0</v>
      </c>
      <c r="F49" s="1">
        <f t="shared" ref="F49" si="5">D49-E49</f>
        <v>0</v>
      </c>
      <c r="H49" s="1">
        <v>0.35299999999999998</v>
      </c>
      <c r="I49" s="1">
        <v>1.095</v>
      </c>
      <c r="K49" s="1">
        <v>0</v>
      </c>
      <c r="L49" s="1">
        <f t="shared" si="4"/>
        <v>0</v>
      </c>
    </row>
    <row r="50" spans="1:12" x14ac:dyDescent="0.25">
      <c r="A50" s="2" t="s">
        <v>50</v>
      </c>
    </row>
    <row r="51" spans="1:12" x14ac:dyDescent="0.25">
      <c r="A51" s="2" t="s">
        <v>51</v>
      </c>
    </row>
    <row r="52" spans="1:12" x14ac:dyDescent="0.25">
      <c r="A52" s="2"/>
    </row>
    <row r="53" spans="1:12" x14ac:dyDescent="0.25">
      <c r="A53" s="2" t="s">
        <v>43</v>
      </c>
    </row>
    <row r="54" spans="1:12" x14ac:dyDescent="0.25">
      <c r="A54" s="2" t="s">
        <v>44</v>
      </c>
    </row>
    <row r="55" spans="1:12" x14ac:dyDescent="0.25">
      <c r="A55" s="2" t="s">
        <v>45</v>
      </c>
    </row>
    <row r="56" spans="1:12" x14ac:dyDescent="0.25">
      <c r="A56" s="2" t="s">
        <v>46</v>
      </c>
    </row>
    <row r="57" spans="1:12" x14ac:dyDescent="0.25">
      <c r="A57" s="2" t="s">
        <v>47</v>
      </c>
    </row>
    <row r="58" spans="1:12" x14ac:dyDescent="0.25">
      <c r="A58" s="2" t="s">
        <v>48</v>
      </c>
    </row>
    <row r="59" spans="1:12" x14ac:dyDescent="0.25">
      <c r="A59" s="2" t="s">
        <v>49</v>
      </c>
    </row>
    <row r="60" spans="1:12" x14ac:dyDescent="0.25">
      <c r="A6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Tortuosity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2023-06-03T12:39:48Z</dcterms:modified>
</cp:coreProperties>
</file>