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"/>
    </mc:Choice>
  </mc:AlternateContent>
  <xr:revisionPtr revIDLastSave="0" documentId="13_ncr:1_{E4156EB6-465A-4511-A5A0-EA04EC9860E9}" xr6:coauthVersionLast="47" xr6:coauthVersionMax="47" xr10:uidLastSave="{00000000-0000-0000-0000-000000000000}"/>
  <bookViews>
    <workbookView xWindow="2688" yWindow="2688" windowWidth="23520" windowHeight="991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9" i="1" l="1"/>
  <c r="I99" i="1"/>
  <c r="H99" i="1"/>
  <c r="G99" i="1"/>
  <c r="G64" i="1"/>
  <c r="B64" i="1" s="1"/>
  <c r="B30" i="1"/>
  <c r="G30" i="1"/>
  <c r="K99" i="1"/>
  <c r="L99" i="1"/>
  <c r="K64" i="1"/>
  <c r="K30" i="1"/>
  <c r="D99" i="1"/>
  <c r="C99" i="1"/>
  <c r="C64" i="1"/>
  <c r="C30" i="1"/>
  <c r="B135" i="1"/>
  <c r="B171" i="1"/>
  <c r="B206" i="1"/>
  <c r="M206" i="1"/>
  <c r="L206" i="1"/>
  <c r="K206" i="1"/>
  <c r="K171" i="1"/>
  <c r="K135" i="1"/>
  <c r="I206" i="1"/>
  <c r="H206" i="1"/>
  <c r="G206" i="1"/>
  <c r="G171" i="1"/>
  <c r="G135" i="1"/>
  <c r="E206" i="1"/>
  <c r="D206" i="1"/>
  <c r="C206" i="1"/>
  <c r="C171" i="1"/>
  <c r="C135" i="1"/>
  <c r="M315" i="1"/>
  <c r="L315" i="1"/>
  <c r="K315" i="1"/>
  <c r="B278" i="1"/>
  <c r="L278" i="1"/>
  <c r="K278" i="1"/>
  <c r="E315" i="1"/>
  <c r="D315" i="1"/>
  <c r="C315" i="1"/>
  <c r="D278" i="1"/>
  <c r="C278" i="1"/>
  <c r="C242" i="1"/>
  <c r="I315" i="1"/>
  <c r="H315" i="1"/>
  <c r="G315" i="1"/>
  <c r="H278" i="1"/>
  <c r="G278" i="1"/>
  <c r="G242" i="1"/>
  <c r="E395" i="1"/>
  <c r="D395" i="1"/>
  <c r="C395" i="1"/>
  <c r="D370" i="1"/>
  <c r="C370" i="1"/>
  <c r="C344" i="1"/>
  <c r="I395" i="1"/>
  <c r="H395" i="1"/>
  <c r="G395" i="1"/>
  <c r="H370" i="1"/>
  <c r="G370" i="1"/>
  <c r="G344" i="1"/>
  <c r="M395" i="1"/>
  <c r="L395" i="1"/>
  <c r="K395" i="1"/>
  <c r="L370" i="1"/>
  <c r="K370" i="1"/>
  <c r="K344" i="1"/>
  <c r="L98" i="1"/>
  <c r="K98" i="1"/>
  <c r="K63" i="1"/>
  <c r="K29" i="1"/>
  <c r="I98" i="1"/>
  <c r="H98" i="1"/>
  <c r="G98" i="1"/>
  <c r="G63" i="1"/>
  <c r="G29" i="1"/>
  <c r="D98" i="1"/>
  <c r="C98" i="1"/>
  <c r="C63" i="1"/>
  <c r="B63" i="1" s="1"/>
  <c r="C29" i="1"/>
  <c r="M205" i="1"/>
  <c r="L205" i="1"/>
  <c r="K205" i="1"/>
  <c r="K170" i="1"/>
  <c r="K134" i="1"/>
  <c r="I205" i="1"/>
  <c r="H205" i="1"/>
  <c r="G205" i="1"/>
  <c r="G170" i="1"/>
  <c r="G134" i="1"/>
  <c r="E205" i="1"/>
  <c r="D205" i="1"/>
  <c r="C205" i="1"/>
  <c r="C170" i="1"/>
  <c r="C134" i="1"/>
  <c r="M314" i="1"/>
  <c r="L314" i="1"/>
  <c r="K314" i="1"/>
  <c r="L277" i="1"/>
  <c r="K277" i="1"/>
  <c r="E314" i="1"/>
  <c r="D314" i="1"/>
  <c r="C314" i="1"/>
  <c r="D277" i="1"/>
  <c r="C277" i="1"/>
  <c r="B277" i="1" s="1"/>
  <c r="C241" i="1"/>
  <c r="I314" i="1"/>
  <c r="H314" i="1"/>
  <c r="G314" i="1"/>
  <c r="H277" i="1"/>
  <c r="G277" i="1"/>
  <c r="G241" i="1"/>
  <c r="B343" i="1"/>
  <c r="M394" i="1"/>
  <c r="L394" i="1"/>
  <c r="K394" i="1"/>
  <c r="L369" i="1"/>
  <c r="K369" i="1"/>
  <c r="K343" i="1"/>
  <c r="I394" i="1"/>
  <c r="H394" i="1"/>
  <c r="G394" i="1"/>
  <c r="H369" i="1"/>
  <c r="G369" i="1"/>
  <c r="G343" i="1"/>
  <c r="E394" i="1"/>
  <c r="D394" i="1"/>
  <c r="C394" i="1"/>
  <c r="D369" i="1"/>
  <c r="B369" i="1" s="1"/>
  <c r="C369" i="1"/>
  <c r="C343" i="1"/>
  <c r="D393" i="1"/>
  <c r="E393" i="1"/>
  <c r="C393" i="1"/>
  <c r="D368" i="1"/>
  <c r="C368" i="1"/>
  <c r="C342" i="1"/>
  <c r="I393" i="1"/>
  <c r="H393" i="1"/>
  <c r="G393" i="1"/>
  <c r="H368" i="1"/>
  <c r="G368" i="1"/>
  <c r="G342" i="1"/>
  <c r="M393" i="1"/>
  <c r="L393" i="1"/>
  <c r="K393" i="1"/>
  <c r="L368" i="1"/>
  <c r="K368" i="1"/>
  <c r="K342" i="1"/>
  <c r="M313" i="1"/>
  <c r="L313" i="1"/>
  <c r="K313" i="1"/>
  <c r="L276" i="1"/>
  <c r="K276" i="1"/>
  <c r="B315" i="1" l="1"/>
  <c r="B98" i="1"/>
  <c r="B344" i="1"/>
  <c r="B368" i="1"/>
  <c r="B394" i="1"/>
  <c r="B29" i="1"/>
  <c r="B370" i="1"/>
  <c r="B205" i="1"/>
  <c r="B134" i="1"/>
  <c r="B170" i="1"/>
  <c r="B342" i="1"/>
  <c r="B393" i="1"/>
  <c r="B314" i="1"/>
  <c r="B395" i="1"/>
  <c r="E313" i="1"/>
  <c r="D313" i="1"/>
  <c r="C313" i="1"/>
  <c r="D276" i="1"/>
  <c r="C276" i="1"/>
  <c r="C240" i="1"/>
  <c r="I313" i="1"/>
  <c r="H313" i="1"/>
  <c r="G313" i="1"/>
  <c r="H276" i="1"/>
  <c r="G276" i="1"/>
  <c r="G240" i="1"/>
  <c r="B276" i="1" l="1"/>
  <c r="B313" i="1"/>
  <c r="M204" i="1"/>
  <c r="L204" i="1"/>
  <c r="K204" i="1"/>
  <c r="K169" i="1"/>
  <c r="I204" i="1"/>
  <c r="H204" i="1"/>
  <c r="G204" i="1"/>
  <c r="G169" i="1"/>
  <c r="E204" i="1"/>
  <c r="D204" i="1"/>
  <c r="C204" i="1"/>
  <c r="C169" i="1"/>
  <c r="B169" i="1" s="1"/>
  <c r="K133" i="1"/>
  <c r="G133" i="1"/>
  <c r="C133" i="1"/>
  <c r="B133" i="1" l="1"/>
  <c r="B204" i="1"/>
  <c r="L97" i="1"/>
  <c r="K97" i="1"/>
  <c r="K62" i="1"/>
  <c r="K28" i="1"/>
  <c r="I97" i="1"/>
  <c r="H97" i="1"/>
  <c r="G97" i="1"/>
  <c r="G62" i="1"/>
  <c r="G28" i="1"/>
  <c r="D97" i="1"/>
  <c r="C62" i="1"/>
  <c r="B62" i="1" s="1"/>
  <c r="C28" i="1"/>
  <c r="B28" i="1" s="1"/>
  <c r="B97" i="1" l="1"/>
  <c r="L96" i="1"/>
  <c r="K96" i="1"/>
  <c r="K61" i="1"/>
  <c r="K27" i="1"/>
  <c r="I96" i="1"/>
  <c r="H96" i="1"/>
  <c r="G96" i="1"/>
  <c r="G61" i="1"/>
  <c r="G27" i="1"/>
  <c r="D96" i="1"/>
  <c r="C61" i="1"/>
  <c r="B61" i="1" s="1"/>
  <c r="C27" i="1"/>
  <c r="B27" i="1" s="1"/>
  <c r="M203" i="1"/>
  <c r="L203" i="1"/>
  <c r="K203" i="1"/>
  <c r="K168" i="1"/>
  <c r="K132" i="1"/>
  <c r="I203" i="1"/>
  <c r="H203" i="1"/>
  <c r="G203" i="1"/>
  <c r="G168" i="1"/>
  <c r="G132" i="1"/>
  <c r="B132" i="1" s="1"/>
  <c r="E203" i="1"/>
  <c r="D203" i="1"/>
  <c r="C203" i="1"/>
  <c r="C168" i="1"/>
  <c r="C132" i="1"/>
  <c r="M312" i="1"/>
  <c r="L312" i="1"/>
  <c r="K312" i="1"/>
  <c r="L275" i="1"/>
  <c r="K275" i="1"/>
  <c r="K239" i="1"/>
  <c r="E312" i="1"/>
  <c r="D312" i="1"/>
  <c r="C312" i="1"/>
  <c r="D275" i="1"/>
  <c r="C275" i="1"/>
  <c r="C239" i="1"/>
  <c r="I312" i="1"/>
  <c r="H312" i="1"/>
  <c r="G312" i="1"/>
  <c r="H275" i="1"/>
  <c r="G275" i="1"/>
  <c r="G239" i="1"/>
  <c r="E392" i="1"/>
  <c r="D392" i="1"/>
  <c r="C392" i="1"/>
  <c r="D367" i="1"/>
  <c r="C367" i="1"/>
  <c r="C341" i="1"/>
  <c r="I392" i="1"/>
  <c r="H392" i="1"/>
  <c r="G392" i="1"/>
  <c r="H367" i="1"/>
  <c r="G367" i="1"/>
  <c r="G341" i="1"/>
  <c r="K367" i="1"/>
  <c r="L367" i="1"/>
  <c r="K341" i="1"/>
  <c r="B275" i="1" l="1"/>
  <c r="B312" i="1"/>
  <c r="B96" i="1"/>
  <c r="B168" i="1"/>
  <c r="B341" i="1"/>
  <c r="B367" i="1"/>
  <c r="B239" i="1"/>
  <c r="B203" i="1"/>
  <c r="M392" i="1"/>
  <c r="L392" i="1"/>
  <c r="K392" i="1"/>
  <c r="M311" i="1"/>
  <c r="L311" i="1"/>
  <c r="K311" i="1"/>
  <c r="L274" i="1"/>
  <c r="K274" i="1"/>
  <c r="K238" i="1"/>
  <c r="E311" i="1"/>
  <c r="D311" i="1"/>
  <c r="C311" i="1"/>
  <c r="D274" i="1"/>
  <c r="C274" i="1"/>
  <c r="C238" i="1"/>
  <c r="I311" i="1"/>
  <c r="H311" i="1"/>
  <c r="G311" i="1"/>
  <c r="H274" i="1"/>
  <c r="G274" i="1"/>
  <c r="G238" i="1"/>
  <c r="M202" i="1"/>
  <c r="L202" i="1"/>
  <c r="K202" i="1"/>
  <c r="K167" i="1"/>
  <c r="K131" i="1"/>
  <c r="I202" i="1"/>
  <c r="H202" i="1"/>
  <c r="G202" i="1"/>
  <c r="G167" i="1"/>
  <c r="G131" i="1"/>
  <c r="B131" i="1" s="1"/>
  <c r="E202" i="1"/>
  <c r="D202" i="1"/>
  <c r="C202" i="1"/>
  <c r="C167" i="1"/>
  <c r="C131" i="1"/>
  <c r="L95" i="1"/>
  <c r="K95" i="1"/>
  <c r="K60" i="1"/>
  <c r="K26" i="1"/>
  <c r="I95" i="1"/>
  <c r="H95" i="1"/>
  <c r="G95" i="1"/>
  <c r="G60" i="1"/>
  <c r="G26" i="1"/>
  <c r="D95" i="1"/>
  <c r="C95" i="1"/>
  <c r="C60" i="1"/>
  <c r="C26" i="1"/>
  <c r="E391" i="1"/>
  <c r="D391" i="1"/>
  <c r="C391" i="1"/>
  <c r="D366" i="1"/>
  <c r="C366" i="1"/>
  <c r="C340" i="1"/>
  <c r="I391" i="1"/>
  <c r="H391" i="1"/>
  <c r="G391" i="1"/>
  <c r="H366" i="1"/>
  <c r="G366" i="1"/>
  <c r="G340" i="1"/>
  <c r="M391" i="1"/>
  <c r="L391" i="1"/>
  <c r="K391" i="1"/>
  <c r="L366" i="1"/>
  <c r="K366" i="1"/>
  <c r="K340" i="1"/>
  <c r="L94" i="1"/>
  <c r="K94" i="1"/>
  <c r="K59" i="1"/>
  <c r="K25" i="1"/>
  <c r="I94" i="1"/>
  <c r="G94" i="1"/>
  <c r="H94" i="1"/>
  <c r="G59" i="1"/>
  <c r="G25" i="1"/>
  <c r="D94" i="1"/>
  <c r="C94" i="1"/>
  <c r="C59" i="1"/>
  <c r="C25" i="1"/>
  <c r="M201" i="1"/>
  <c r="L201" i="1"/>
  <c r="K201" i="1"/>
  <c r="K166" i="1"/>
  <c r="K130" i="1"/>
  <c r="I201" i="1"/>
  <c r="H201" i="1"/>
  <c r="G201" i="1"/>
  <c r="G166" i="1"/>
  <c r="G130" i="1"/>
  <c r="E201" i="1"/>
  <c r="D201" i="1"/>
  <c r="C201" i="1"/>
  <c r="C166" i="1"/>
  <c r="C130" i="1"/>
  <c r="M310" i="1"/>
  <c r="L310" i="1"/>
  <c r="K310" i="1"/>
  <c r="L273" i="1"/>
  <c r="K273" i="1"/>
  <c r="K237" i="1"/>
  <c r="E310" i="1"/>
  <c r="D310" i="1"/>
  <c r="C310" i="1"/>
  <c r="D273" i="1"/>
  <c r="C273" i="1"/>
  <c r="C237" i="1"/>
  <c r="I310" i="1"/>
  <c r="H310" i="1"/>
  <c r="G310" i="1"/>
  <c r="H273" i="1"/>
  <c r="G273" i="1"/>
  <c r="G237" i="1"/>
  <c r="E390" i="1"/>
  <c r="D390" i="1"/>
  <c r="C390" i="1"/>
  <c r="D365" i="1"/>
  <c r="C365" i="1"/>
  <c r="C339" i="1"/>
  <c r="I390" i="1"/>
  <c r="H390" i="1"/>
  <c r="G390" i="1"/>
  <c r="H365" i="1"/>
  <c r="G365" i="1"/>
  <c r="M390" i="1"/>
  <c r="L390" i="1"/>
  <c r="K390" i="1"/>
  <c r="G339" i="1"/>
  <c r="L365" i="1"/>
  <c r="K365" i="1"/>
  <c r="K339" i="1"/>
  <c r="L93" i="1"/>
  <c r="K93" i="1"/>
  <c r="K58" i="1"/>
  <c r="K24" i="1"/>
  <c r="I93" i="1"/>
  <c r="H93" i="1"/>
  <c r="G93" i="1"/>
  <c r="G58" i="1"/>
  <c r="G24" i="1"/>
  <c r="D93" i="1"/>
  <c r="C93" i="1"/>
  <c r="C58" i="1"/>
  <c r="C24" i="1"/>
  <c r="I200" i="1"/>
  <c r="H200" i="1"/>
  <c r="G200" i="1"/>
  <c r="G165" i="1"/>
  <c r="G129" i="1"/>
  <c r="M200" i="1"/>
  <c r="L200" i="1"/>
  <c r="K200" i="1"/>
  <c r="K165" i="1"/>
  <c r="K129" i="1"/>
  <c r="E200" i="1"/>
  <c r="D200" i="1"/>
  <c r="C200" i="1"/>
  <c r="C165" i="1"/>
  <c r="C129" i="1"/>
  <c r="E309" i="1"/>
  <c r="D309" i="1"/>
  <c r="C309" i="1"/>
  <c r="D272" i="1"/>
  <c r="C272" i="1"/>
  <c r="C236" i="1"/>
  <c r="K309" i="1"/>
  <c r="M309" i="1"/>
  <c r="L309" i="1"/>
  <c r="L272" i="1"/>
  <c r="K272" i="1"/>
  <c r="K236" i="1"/>
  <c r="I309" i="1"/>
  <c r="H309" i="1"/>
  <c r="G309" i="1"/>
  <c r="H272" i="1"/>
  <c r="G272" i="1"/>
  <c r="G236" i="1"/>
  <c r="I389" i="1"/>
  <c r="H389" i="1"/>
  <c r="G389" i="1"/>
  <c r="H364" i="1"/>
  <c r="G364" i="1"/>
  <c r="G338" i="1"/>
  <c r="K389" i="1"/>
  <c r="L389" i="1"/>
  <c r="M389" i="1"/>
  <c r="K364" i="1"/>
  <c r="L364" i="1"/>
  <c r="K338" i="1"/>
  <c r="E389" i="1"/>
  <c r="D389" i="1"/>
  <c r="C389" i="1"/>
  <c r="D364" i="1"/>
  <c r="C364" i="1"/>
  <c r="C338" i="1"/>
  <c r="E388" i="1"/>
  <c r="D388" i="1"/>
  <c r="C388" i="1"/>
  <c r="D363" i="1"/>
  <c r="C363" i="1"/>
  <c r="C337" i="1"/>
  <c r="I388" i="1"/>
  <c r="H388" i="1"/>
  <c r="G388" i="1"/>
  <c r="H363" i="1"/>
  <c r="G363" i="1"/>
  <c r="G337" i="1"/>
  <c r="M388" i="1"/>
  <c r="L388" i="1"/>
  <c r="K388" i="1"/>
  <c r="L363" i="1"/>
  <c r="K363" i="1"/>
  <c r="K337" i="1"/>
  <c r="M199" i="1"/>
  <c r="L199" i="1"/>
  <c r="K199" i="1"/>
  <c r="K164" i="1"/>
  <c r="K128" i="1"/>
  <c r="I199" i="1"/>
  <c r="H199" i="1"/>
  <c r="G199" i="1"/>
  <c r="G164" i="1"/>
  <c r="G128" i="1"/>
  <c r="E199" i="1"/>
  <c r="D199" i="1"/>
  <c r="C199" i="1"/>
  <c r="C164" i="1"/>
  <c r="C128" i="1"/>
  <c r="L92" i="1"/>
  <c r="K92" i="1"/>
  <c r="K57" i="1"/>
  <c r="K23" i="1"/>
  <c r="I92" i="1"/>
  <c r="H92" i="1"/>
  <c r="G92" i="1"/>
  <c r="G57" i="1"/>
  <c r="G23" i="1"/>
  <c r="D92" i="1"/>
  <c r="C92" i="1"/>
  <c r="C57" i="1"/>
  <c r="C23" i="1"/>
  <c r="I387" i="1"/>
  <c r="H387" i="1"/>
  <c r="G387" i="1"/>
  <c r="H362" i="1"/>
  <c r="G362" i="1"/>
  <c r="E387" i="1"/>
  <c r="D387" i="1"/>
  <c r="C387" i="1"/>
  <c r="D362" i="1"/>
  <c r="C362" i="1"/>
  <c r="C336" i="1"/>
  <c r="G336" i="1"/>
  <c r="M387" i="1"/>
  <c r="L387" i="1"/>
  <c r="K387" i="1"/>
  <c r="L362" i="1"/>
  <c r="K362" i="1"/>
  <c r="K336" i="1"/>
  <c r="M308" i="1"/>
  <c r="L308" i="1"/>
  <c r="K308" i="1"/>
  <c r="L271" i="1"/>
  <c r="K271" i="1"/>
  <c r="E308" i="1"/>
  <c r="D308" i="1"/>
  <c r="C308" i="1"/>
  <c r="D271" i="1"/>
  <c r="C271" i="1"/>
  <c r="C235" i="1"/>
  <c r="I308" i="1"/>
  <c r="H308" i="1"/>
  <c r="G308" i="1"/>
  <c r="H271" i="1"/>
  <c r="G271" i="1"/>
  <c r="G235" i="1"/>
  <c r="L91" i="1"/>
  <c r="K91" i="1"/>
  <c r="K56" i="1"/>
  <c r="K22" i="1"/>
  <c r="I91" i="1"/>
  <c r="H91" i="1"/>
  <c r="G91" i="1"/>
  <c r="G56" i="1"/>
  <c r="G22" i="1"/>
  <c r="D91" i="1"/>
  <c r="C91" i="1"/>
  <c r="C56" i="1"/>
  <c r="C22" i="1"/>
  <c r="M198" i="1"/>
  <c r="L198" i="1"/>
  <c r="K198" i="1"/>
  <c r="K163" i="1"/>
  <c r="K127" i="1"/>
  <c r="I198" i="1"/>
  <c r="H198" i="1"/>
  <c r="G198" i="1"/>
  <c r="G163" i="1"/>
  <c r="G127" i="1"/>
  <c r="E198" i="1"/>
  <c r="D198" i="1"/>
  <c r="C198" i="1"/>
  <c r="C163" i="1"/>
  <c r="C127" i="1"/>
  <c r="K307" i="1"/>
  <c r="M307" i="1"/>
  <c r="L307" i="1"/>
  <c r="L270" i="1"/>
  <c r="K270" i="1"/>
  <c r="I307" i="1"/>
  <c r="H307" i="1"/>
  <c r="G307" i="1"/>
  <c r="K234" i="1"/>
  <c r="H270" i="1"/>
  <c r="G270" i="1"/>
  <c r="E307" i="1"/>
  <c r="D307" i="1"/>
  <c r="C307" i="1"/>
  <c r="D270" i="1"/>
  <c r="C270" i="1"/>
  <c r="C234" i="1"/>
  <c r="G234" i="1"/>
  <c r="E386" i="1"/>
  <c r="D386" i="1"/>
  <c r="C386" i="1"/>
  <c r="D361" i="1"/>
  <c r="C361" i="1"/>
  <c r="C335" i="1"/>
  <c r="I386" i="1"/>
  <c r="H386" i="1"/>
  <c r="G386" i="1"/>
  <c r="H361" i="1"/>
  <c r="G361" i="1"/>
  <c r="G335" i="1"/>
  <c r="M386" i="1"/>
  <c r="L386" i="1"/>
  <c r="K386" i="1"/>
  <c r="L361" i="1"/>
  <c r="K361" i="1"/>
  <c r="K335" i="1"/>
  <c r="L90" i="1"/>
  <c r="K90" i="1"/>
  <c r="K55" i="1"/>
  <c r="K21" i="1"/>
  <c r="I90" i="1"/>
  <c r="H90" i="1"/>
  <c r="G90" i="1"/>
  <c r="G55" i="1"/>
  <c r="G21" i="1"/>
  <c r="D90" i="1"/>
  <c r="C90" i="1"/>
  <c r="C55" i="1"/>
  <c r="C21" i="1"/>
  <c r="M197" i="1"/>
  <c r="L197" i="1"/>
  <c r="K197" i="1"/>
  <c r="K162" i="1"/>
  <c r="K126" i="1"/>
  <c r="I197" i="1"/>
  <c r="H197" i="1"/>
  <c r="G197" i="1"/>
  <c r="G162" i="1"/>
  <c r="G126" i="1"/>
  <c r="E197" i="1"/>
  <c r="D197" i="1"/>
  <c r="C197" i="1"/>
  <c r="C162" i="1"/>
  <c r="C126" i="1"/>
  <c r="M306" i="1"/>
  <c r="L306" i="1"/>
  <c r="K306" i="1"/>
  <c r="L269" i="1"/>
  <c r="K269" i="1"/>
  <c r="I306" i="1"/>
  <c r="H306" i="1"/>
  <c r="G306" i="1"/>
  <c r="H269" i="1"/>
  <c r="G269" i="1"/>
  <c r="E306" i="1"/>
  <c r="D306" i="1"/>
  <c r="C306" i="1"/>
  <c r="D269" i="1"/>
  <c r="C269" i="1"/>
  <c r="C233" i="1"/>
  <c r="G233" i="1"/>
  <c r="E385" i="1"/>
  <c r="D385" i="1"/>
  <c r="C385" i="1"/>
  <c r="D360" i="1"/>
  <c r="C360" i="1"/>
  <c r="C334" i="1"/>
  <c r="I385" i="1"/>
  <c r="H385" i="1"/>
  <c r="G385" i="1"/>
  <c r="H360" i="1"/>
  <c r="G360" i="1"/>
  <c r="G334" i="1"/>
  <c r="M385" i="1"/>
  <c r="L385" i="1"/>
  <c r="K385" i="1"/>
  <c r="L360" i="1"/>
  <c r="K360" i="1"/>
  <c r="K334" i="1"/>
  <c r="E384" i="1"/>
  <c r="D384" i="1"/>
  <c r="C384" i="1"/>
  <c r="D359" i="1"/>
  <c r="C359" i="1"/>
  <c r="C333" i="1"/>
  <c r="I384" i="1"/>
  <c r="H384" i="1"/>
  <c r="G384" i="1"/>
  <c r="H359" i="1"/>
  <c r="G359" i="1"/>
  <c r="G333" i="1"/>
  <c r="M384" i="1"/>
  <c r="L384" i="1"/>
  <c r="K384" i="1"/>
  <c r="L359" i="1"/>
  <c r="K359" i="1"/>
  <c r="K333" i="1"/>
  <c r="M305" i="1"/>
  <c r="L305" i="1"/>
  <c r="K305" i="1"/>
  <c r="L268" i="1"/>
  <c r="K268" i="1"/>
  <c r="I305" i="1"/>
  <c r="H305" i="1"/>
  <c r="G305" i="1"/>
  <c r="H268" i="1"/>
  <c r="G268" i="1"/>
  <c r="E305" i="1"/>
  <c r="D305" i="1"/>
  <c r="C305" i="1"/>
  <c r="D268" i="1"/>
  <c r="C268" i="1"/>
  <c r="C232" i="1"/>
  <c r="G232" i="1"/>
  <c r="M196" i="1"/>
  <c r="L196" i="1"/>
  <c r="K196" i="1"/>
  <c r="K161" i="1"/>
  <c r="K125" i="1"/>
  <c r="I196" i="1"/>
  <c r="H196" i="1"/>
  <c r="G196" i="1"/>
  <c r="G161" i="1"/>
  <c r="G125" i="1"/>
  <c r="E196" i="1"/>
  <c r="D196" i="1"/>
  <c r="C196" i="1"/>
  <c r="C161" i="1"/>
  <c r="C125" i="1"/>
  <c r="L89" i="1"/>
  <c r="K89" i="1"/>
  <c r="K54" i="1"/>
  <c r="K20" i="1"/>
  <c r="I89" i="1"/>
  <c r="H89" i="1"/>
  <c r="G89" i="1"/>
  <c r="G54" i="1"/>
  <c r="G20" i="1"/>
  <c r="D89" i="1"/>
  <c r="C53" i="1"/>
  <c r="C54" i="1"/>
  <c r="C20" i="1"/>
  <c r="E383" i="1"/>
  <c r="D383" i="1"/>
  <c r="C383" i="1"/>
  <c r="D358" i="1"/>
  <c r="C358" i="1"/>
  <c r="C332" i="1"/>
  <c r="I383" i="1"/>
  <c r="H383" i="1"/>
  <c r="G383" i="1"/>
  <c r="H358" i="1"/>
  <c r="G358" i="1"/>
  <c r="G332" i="1"/>
  <c r="M383" i="1"/>
  <c r="L383" i="1"/>
  <c r="K383" i="1"/>
  <c r="L358" i="1"/>
  <c r="K358" i="1"/>
  <c r="K332" i="1"/>
  <c r="M304" i="1"/>
  <c r="L304" i="1"/>
  <c r="K304" i="1"/>
  <c r="L267" i="1"/>
  <c r="K267" i="1"/>
  <c r="I304" i="1"/>
  <c r="H304" i="1"/>
  <c r="G304" i="1"/>
  <c r="H267" i="1"/>
  <c r="G267" i="1"/>
  <c r="G231" i="1"/>
  <c r="E304" i="1"/>
  <c r="D304" i="1"/>
  <c r="C304" i="1"/>
  <c r="D267" i="1"/>
  <c r="C267" i="1"/>
  <c r="C231" i="1"/>
  <c r="M195" i="1"/>
  <c r="L195" i="1"/>
  <c r="K195" i="1"/>
  <c r="K160" i="1"/>
  <c r="K124" i="1"/>
  <c r="I195" i="1"/>
  <c r="H195" i="1"/>
  <c r="G195" i="1"/>
  <c r="G160" i="1"/>
  <c r="G124" i="1"/>
  <c r="E195" i="1"/>
  <c r="D195" i="1"/>
  <c r="C195" i="1"/>
  <c r="C160" i="1"/>
  <c r="C124" i="1"/>
  <c r="L88" i="1"/>
  <c r="K88" i="1"/>
  <c r="K53" i="1"/>
  <c r="K19" i="1"/>
  <c r="I88" i="1"/>
  <c r="H88" i="1"/>
  <c r="G88" i="1"/>
  <c r="G53" i="1"/>
  <c r="G19" i="1"/>
  <c r="D88" i="1"/>
  <c r="C19" i="1"/>
  <c r="E382" i="1"/>
  <c r="D382" i="1"/>
  <c r="C382" i="1"/>
  <c r="D357" i="1"/>
  <c r="C357" i="1"/>
  <c r="C331" i="1"/>
  <c r="I382" i="1"/>
  <c r="H382" i="1"/>
  <c r="G382" i="1"/>
  <c r="H357" i="1"/>
  <c r="G357" i="1"/>
  <c r="G331" i="1"/>
  <c r="M382" i="1"/>
  <c r="L382" i="1"/>
  <c r="K382" i="1"/>
  <c r="L357" i="1"/>
  <c r="K357" i="1"/>
  <c r="K331" i="1"/>
  <c r="K303" i="1"/>
  <c r="M303" i="1"/>
  <c r="L303" i="1"/>
  <c r="L266" i="1"/>
  <c r="K266" i="1"/>
  <c r="K230" i="1"/>
  <c r="I303" i="1"/>
  <c r="H303" i="1"/>
  <c r="G303" i="1"/>
  <c r="H266" i="1"/>
  <c r="G266" i="1"/>
  <c r="G230" i="1"/>
  <c r="E303" i="1"/>
  <c r="D303" i="1"/>
  <c r="C303" i="1"/>
  <c r="D266" i="1"/>
  <c r="C266" i="1"/>
  <c r="C230" i="1"/>
  <c r="M194" i="1"/>
  <c r="L194" i="1"/>
  <c r="K194" i="1"/>
  <c r="K159" i="1"/>
  <c r="K123" i="1"/>
  <c r="I194" i="1"/>
  <c r="H194" i="1"/>
  <c r="G194" i="1"/>
  <c r="G159" i="1"/>
  <c r="G123" i="1"/>
  <c r="E194" i="1"/>
  <c r="D194" i="1"/>
  <c r="C194" i="1"/>
  <c r="C159" i="1"/>
  <c r="C123" i="1"/>
  <c r="L87" i="1"/>
  <c r="K87" i="1"/>
  <c r="K52" i="1"/>
  <c r="K18" i="1"/>
  <c r="I87" i="1"/>
  <c r="H87" i="1"/>
  <c r="G87" i="1"/>
  <c r="G52" i="1"/>
  <c r="G18" i="1"/>
  <c r="D87" i="1"/>
  <c r="C87" i="1"/>
  <c r="C52" i="1"/>
  <c r="C18" i="1"/>
  <c r="C122" i="1"/>
  <c r="L86" i="1"/>
  <c r="K86" i="1"/>
  <c r="K51" i="1"/>
  <c r="K17" i="1"/>
  <c r="I86" i="1"/>
  <c r="H86" i="1"/>
  <c r="G86" i="1"/>
  <c r="G51" i="1"/>
  <c r="G17" i="1"/>
  <c r="D86" i="1"/>
  <c r="C51" i="1"/>
  <c r="C17" i="1"/>
  <c r="M193" i="1"/>
  <c r="L193" i="1"/>
  <c r="K193" i="1"/>
  <c r="K158" i="1"/>
  <c r="K122" i="1"/>
  <c r="I193" i="1"/>
  <c r="H193" i="1"/>
  <c r="G193" i="1"/>
  <c r="G158" i="1"/>
  <c r="G122" i="1"/>
  <c r="E193" i="1"/>
  <c r="D193" i="1"/>
  <c r="C193" i="1"/>
  <c r="C158" i="1"/>
  <c r="M302" i="1"/>
  <c r="L302" i="1"/>
  <c r="K302" i="1"/>
  <c r="L265" i="1"/>
  <c r="K265" i="1"/>
  <c r="E302" i="1"/>
  <c r="D302" i="1"/>
  <c r="C302" i="1"/>
  <c r="D265" i="1"/>
  <c r="C265" i="1"/>
  <c r="C229" i="1"/>
  <c r="I302" i="1"/>
  <c r="H302" i="1"/>
  <c r="G302" i="1"/>
  <c r="H265" i="1"/>
  <c r="G265" i="1"/>
  <c r="G229" i="1"/>
  <c r="E381" i="1"/>
  <c r="D381" i="1"/>
  <c r="C381" i="1"/>
  <c r="D356" i="1"/>
  <c r="C356" i="1"/>
  <c r="M381" i="1"/>
  <c r="L381" i="1"/>
  <c r="K381" i="1"/>
  <c r="L356" i="1"/>
  <c r="K356" i="1"/>
  <c r="I381" i="1"/>
  <c r="H381" i="1"/>
  <c r="G381" i="1"/>
  <c r="C71" i="1"/>
  <c r="D71" i="1"/>
  <c r="G71" i="1"/>
  <c r="H71" i="1"/>
  <c r="I71" i="1"/>
  <c r="K71" i="1"/>
  <c r="L71" i="1"/>
  <c r="D72" i="1"/>
  <c r="H72" i="1"/>
  <c r="I72" i="1"/>
  <c r="K72" i="1"/>
  <c r="L72" i="1"/>
  <c r="H356" i="1"/>
  <c r="G356" i="1"/>
  <c r="G330" i="1"/>
  <c r="C330" i="1"/>
  <c r="K330" i="1"/>
  <c r="I380" i="1"/>
  <c r="H380" i="1"/>
  <c r="G380" i="1"/>
  <c r="H355" i="1"/>
  <c r="G355" i="1"/>
  <c r="G329" i="1"/>
  <c r="E380" i="1"/>
  <c r="D380" i="1"/>
  <c r="C380" i="1"/>
  <c r="D355" i="1"/>
  <c r="C355" i="1"/>
  <c r="C329" i="1"/>
  <c r="M380" i="1"/>
  <c r="L380" i="1"/>
  <c r="K380" i="1"/>
  <c r="L355" i="1"/>
  <c r="K355" i="1"/>
  <c r="K329" i="1"/>
  <c r="M301" i="1"/>
  <c r="L301" i="1"/>
  <c r="L264" i="1"/>
  <c r="K264" i="1"/>
  <c r="I301" i="1"/>
  <c r="H301" i="1"/>
  <c r="G301" i="1"/>
  <c r="H264" i="1"/>
  <c r="G264" i="1"/>
  <c r="G228" i="1"/>
  <c r="E301" i="1"/>
  <c r="D301" i="1"/>
  <c r="C301" i="1"/>
  <c r="D264" i="1"/>
  <c r="C264" i="1"/>
  <c r="C228" i="1"/>
  <c r="M192" i="1"/>
  <c r="L192" i="1"/>
  <c r="K192" i="1"/>
  <c r="K157" i="1"/>
  <c r="K121" i="1"/>
  <c r="I192" i="1"/>
  <c r="H192" i="1"/>
  <c r="G192" i="1"/>
  <c r="G157" i="1"/>
  <c r="G121" i="1"/>
  <c r="E192" i="1"/>
  <c r="D192" i="1"/>
  <c r="C192" i="1"/>
  <c r="C157" i="1"/>
  <c r="C121" i="1"/>
  <c r="L85" i="1"/>
  <c r="K85" i="1"/>
  <c r="K50" i="1"/>
  <c r="K16" i="1"/>
  <c r="I85" i="1"/>
  <c r="H85" i="1"/>
  <c r="G85" i="1"/>
  <c r="G50" i="1"/>
  <c r="G16" i="1"/>
  <c r="D85" i="1"/>
  <c r="D84" i="1"/>
  <c r="C50" i="1"/>
  <c r="C16" i="1"/>
  <c r="I379" i="1"/>
  <c r="H379" i="1"/>
  <c r="G379" i="1"/>
  <c r="H354" i="1"/>
  <c r="G354" i="1"/>
  <c r="G328" i="1"/>
  <c r="E379" i="1"/>
  <c r="D379" i="1"/>
  <c r="C379" i="1"/>
  <c r="D354" i="1"/>
  <c r="C354" i="1"/>
  <c r="C328" i="1"/>
  <c r="M379" i="1"/>
  <c r="L379" i="1"/>
  <c r="K379" i="1"/>
  <c r="L354" i="1"/>
  <c r="K354" i="1"/>
  <c r="K328" i="1"/>
  <c r="M300" i="1"/>
  <c r="L300" i="1"/>
  <c r="L263" i="1"/>
  <c r="K263" i="1"/>
  <c r="I300" i="1"/>
  <c r="H300" i="1"/>
  <c r="G300" i="1"/>
  <c r="H263" i="1"/>
  <c r="G263" i="1"/>
  <c r="G227" i="1"/>
  <c r="E300" i="1"/>
  <c r="D300" i="1"/>
  <c r="C300" i="1"/>
  <c r="D263" i="1"/>
  <c r="C263" i="1"/>
  <c r="C227" i="1"/>
  <c r="M191" i="1"/>
  <c r="L191" i="1"/>
  <c r="K191" i="1"/>
  <c r="K156" i="1"/>
  <c r="K120" i="1"/>
  <c r="I191" i="1"/>
  <c r="H191" i="1"/>
  <c r="G191" i="1"/>
  <c r="G156" i="1"/>
  <c r="G120" i="1"/>
  <c r="E191" i="1"/>
  <c r="D191" i="1"/>
  <c r="C191" i="1"/>
  <c r="C156" i="1"/>
  <c r="C120" i="1"/>
  <c r="L84" i="1"/>
  <c r="K84" i="1"/>
  <c r="K49" i="1"/>
  <c r="K15" i="1"/>
  <c r="I84" i="1"/>
  <c r="H84" i="1"/>
  <c r="G84" i="1"/>
  <c r="G49" i="1"/>
  <c r="G15" i="1"/>
  <c r="C49" i="1"/>
  <c r="C15" i="1"/>
  <c r="M378" i="1"/>
  <c r="L378" i="1"/>
  <c r="K378" i="1"/>
  <c r="L353" i="1"/>
  <c r="K353" i="1"/>
  <c r="K327" i="1"/>
  <c r="I378" i="1"/>
  <c r="H378" i="1"/>
  <c r="G378" i="1"/>
  <c r="H353" i="1"/>
  <c r="G353" i="1"/>
  <c r="G327" i="1"/>
  <c r="E378" i="1"/>
  <c r="D378" i="1"/>
  <c r="C378" i="1"/>
  <c r="D353" i="1"/>
  <c r="C353" i="1"/>
  <c r="C327" i="1"/>
  <c r="M299" i="1"/>
  <c r="L299" i="1"/>
  <c r="L262" i="1"/>
  <c r="K262" i="1"/>
  <c r="E299" i="1"/>
  <c r="D299" i="1"/>
  <c r="C299" i="1"/>
  <c r="D262" i="1"/>
  <c r="C262" i="1"/>
  <c r="C226" i="1"/>
  <c r="I299" i="1"/>
  <c r="H299" i="1"/>
  <c r="G299" i="1"/>
  <c r="H262" i="1"/>
  <c r="G262" i="1"/>
  <c r="G226" i="1"/>
  <c r="M190" i="1"/>
  <c r="L190" i="1"/>
  <c r="K190" i="1"/>
  <c r="K155" i="1"/>
  <c r="K119" i="1"/>
  <c r="I190" i="1"/>
  <c r="H190" i="1"/>
  <c r="G190" i="1"/>
  <c r="G155" i="1"/>
  <c r="G119" i="1"/>
  <c r="E190" i="1"/>
  <c r="D190" i="1"/>
  <c r="C190" i="1"/>
  <c r="C155" i="1"/>
  <c r="C119" i="1"/>
  <c r="L83" i="1"/>
  <c r="K83" i="1"/>
  <c r="K48" i="1"/>
  <c r="K14" i="1"/>
  <c r="I83" i="1"/>
  <c r="H83" i="1"/>
  <c r="G83" i="1"/>
  <c r="G48" i="1"/>
  <c r="G14" i="1"/>
  <c r="D83" i="1"/>
  <c r="C83" i="1"/>
  <c r="C48" i="1"/>
  <c r="C47" i="1"/>
  <c r="C14" i="1"/>
  <c r="B26" i="1" l="1"/>
  <c r="B202" i="1"/>
  <c r="B238" i="1"/>
  <c r="B366" i="1"/>
  <c r="B95" i="1"/>
  <c r="B60" i="1"/>
  <c r="B340" i="1"/>
  <c r="B391" i="1"/>
  <c r="B274" i="1"/>
  <c r="B311" i="1"/>
  <c r="B392" i="1"/>
  <c r="B167" i="1"/>
  <c r="B338" i="1"/>
  <c r="B57" i="1"/>
  <c r="B24" i="1"/>
  <c r="B25" i="1"/>
  <c r="B127" i="1"/>
  <c r="B91" i="1"/>
  <c r="B164" i="1"/>
  <c r="B335" i="1"/>
  <c r="B361" i="1"/>
  <c r="B389" i="1"/>
  <c r="B272" i="1"/>
  <c r="B92" i="1"/>
  <c r="B129" i="1"/>
  <c r="B130" i="1"/>
  <c r="B22" i="1"/>
  <c r="B271" i="1"/>
  <c r="B362" i="1"/>
  <c r="B56" i="1"/>
  <c r="B336" i="1"/>
  <c r="B199" i="1"/>
  <c r="B364" i="1"/>
  <c r="B309" i="1"/>
  <c r="B273" i="1"/>
  <c r="B363" i="1"/>
  <c r="B235" i="1"/>
  <c r="B388" i="1"/>
  <c r="B337" i="1"/>
  <c r="B234" i="1"/>
  <c r="B198" i="1"/>
  <c r="B58" i="1"/>
  <c r="B339" i="1"/>
  <c r="B310" i="1"/>
  <c r="B59" i="1"/>
  <c r="B270" i="1"/>
  <c r="B308" i="1"/>
  <c r="B23" i="1"/>
  <c r="B165" i="1"/>
  <c r="B93" i="1"/>
  <c r="B166" i="1"/>
  <c r="B94" i="1"/>
  <c r="B163" i="1"/>
  <c r="B236" i="1"/>
  <c r="B200" i="1"/>
  <c r="B365" i="1"/>
  <c r="B201" i="1"/>
  <c r="B386" i="1"/>
  <c r="B307" i="1"/>
  <c r="B387" i="1"/>
  <c r="B128" i="1"/>
  <c r="B390" i="1"/>
  <c r="B237" i="1"/>
  <c r="B21" i="1"/>
  <c r="B124" i="1"/>
  <c r="B305" i="1"/>
  <c r="B359" i="1"/>
  <c r="B233" i="1"/>
  <c r="B55" i="1"/>
  <c r="B334" i="1"/>
  <c r="B90" i="1"/>
  <c r="B88" i="1"/>
  <c r="B20" i="1"/>
  <c r="B125" i="1"/>
  <c r="B195" i="1"/>
  <c r="B358" i="1"/>
  <c r="B231" i="1"/>
  <c r="B383" i="1"/>
  <c r="B232" i="1"/>
  <c r="B384" i="1"/>
  <c r="B160" i="1"/>
  <c r="B267" i="1"/>
  <c r="B89" i="1"/>
  <c r="B161" i="1"/>
  <c r="B268" i="1"/>
  <c r="B162" i="1"/>
  <c r="B197" i="1"/>
  <c r="B196" i="1"/>
  <c r="B360" i="1"/>
  <c r="B126" i="1"/>
  <c r="B306" i="1"/>
  <c r="B269" i="1"/>
  <c r="B19" i="1"/>
  <c r="B54" i="1"/>
  <c r="B191" i="1"/>
  <c r="B304" i="1"/>
  <c r="B332" i="1"/>
  <c r="B333" i="1"/>
  <c r="B385" i="1"/>
  <c r="B53" i="1"/>
  <c r="B229" i="1"/>
  <c r="B52" i="1"/>
  <c r="B86" i="1"/>
  <c r="B158" i="1"/>
  <c r="B123" i="1"/>
  <c r="B159" i="1"/>
  <c r="B330" i="1"/>
  <c r="B303" i="1"/>
  <c r="B265" i="1"/>
  <c r="B87" i="1"/>
  <c r="B331" i="1"/>
  <c r="B17" i="1"/>
  <c r="B357" i="1"/>
  <c r="B51" i="1"/>
  <c r="B356" i="1"/>
  <c r="B193" i="1"/>
  <c r="B266" i="1"/>
  <c r="B302" i="1"/>
  <c r="B382" i="1"/>
  <c r="B194" i="1"/>
  <c r="B381" i="1"/>
  <c r="B122" i="1"/>
  <c r="B18" i="1"/>
  <c r="B230" i="1"/>
  <c r="B72" i="1"/>
  <c r="B71" i="1"/>
  <c r="B119" i="1"/>
  <c r="B329" i="1"/>
  <c r="B121" i="1"/>
  <c r="B157" i="1"/>
  <c r="B120" i="1"/>
  <c r="B48" i="1"/>
  <c r="B328" i="1"/>
  <c r="B264" i="1"/>
  <c r="B327" i="1"/>
  <c r="B156" i="1"/>
  <c r="B85" i="1"/>
  <c r="B192" i="1"/>
  <c r="B49" i="1"/>
  <c r="B155" i="1"/>
  <c r="B16" i="1"/>
  <c r="B379" i="1"/>
  <c r="B262" i="1"/>
  <c r="B84" i="1"/>
  <c r="B50" i="1"/>
  <c r="B355" i="1"/>
  <c r="B263" i="1"/>
  <c r="B83" i="1"/>
  <c r="B353" i="1"/>
  <c r="B378" i="1"/>
  <c r="B15" i="1"/>
  <c r="B354" i="1"/>
  <c r="B380" i="1"/>
  <c r="B14" i="1"/>
  <c r="B190" i="1"/>
  <c r="E377" i="1"/>
  <c r="D377" i="1"/>
  <c r="C377" i="1"/>
  <c r="D352" i="1"/>
  <c r="C352" i="1"/>
  <c r="C326" i="1"/>
  <c r="I377" i="1"/>
  <c r="H377" i="1"/>
  <c r="G377" i="1"/>
  <c r="H352" i="1"/>
  <c r="G352" i="1"/>
  <c r="G326" i="1"/>
  <c r="M377" i="1"/>
  <c r="L377" i="1"/>
  <c r="K377" i="1"/>
  <c r="L352" i="1"/>
  <c r="K352" i="1"/>
  <c r="K326" i="1"/>
  <c r="I376" i="1"/>
  <c r="H376" i="1"/>
  <c r="G376" i="1"/>
  <c r="H351" i="1"/>
  <c r="G351" i="1"/>
  <c r="G325" i="1"/>
  <c r="M376" i="1"/>
  <c r="L376" i="1"/>
  <c r="K376" i="1"/>
  <c r="L351" i="1"/>
  <c r="K351" i="1"/>
  <c r="K325" i="1"/>
  <c r="E376" i="1"/>
  <c r="D376" i="1"/>
  <c r="C376" i="1"/>
  <c r="D351" i="1"/>
  <c r="C351" i="1"/>
  <c r="C325" i="1"/>
  <c r="M375" i="1"/>
  <c r="L375" i="1"/>
  <c r="K375" i="1"/>
  <c r="L350" i="1"/>
  <c r="K350" i="1"/>
  <c r="K324" i="1"/>
  <c r="I375" i="1"/>
  <c r="H375" i="1"/>
  <c r="G375" i="1"/>
  <c r="H350" i="1"/>
  <c r="G350" i="1"/>
  <c r="G324" i="1"/>
  <c r="E375" i="1"/>
  <c r="D375" i="1"/>
  <c r="C375" i="1"/>
  <c r="D350" i="1"/>
  <c r="C350" i="1"/>
  <c r="M298" i="1"/>
  <c r="L298" i="1"/>
  <c r="L261" i="1"/>
  <c r="K261" i="1"/>
  <c r="E298" i="1"/>
  <c r="D298" i="1"/>
  <c r="C298" i="1"/>
  <c r="D261" i="1"/>
  <c r="C261" i="1"/>
  <c r="C225" i="1"/>
  <c r="I298" i="1"/>
  <c r="H298" i="1"/>
  <c r="G298" i="1"/>
  <c r="H261" i="1"/>
  <c r="G261" i="1"/>
  <c r="G225" i="1"/>
  <c r="M189" i="1"/>
  <c r="L189" i="1"/>
  <c r="K189" i="1"/>
  <c r="K154" i="1"/>
  <c r="K118" i="1"/>
  <c r="I189" i="1"/>
  <c r="H189" i="1"/>
  <c r="G189" i="1"/>
  <c r="G154" i="1"/>
  <c r="G118" i="1"/>
  <c r="E189" i="1"/>
  <c r="D189" i="1"/>
  <c r="C189" i="1"/>
  <c r="C154" i="1"/>
  <c r="C118" i="1"/>
  <c r="L82" i="1"/>
  <c r="K82" i="1"/>
  <c r="K47" i="1"/>
  <c r="K13" i="1"/>
  <c r="I82" i="1"/>
  <c r="H82" i="1"/>
  <c r="G82" i="1"/>
  <c r="G47" i="1"/>
  <c r="G13" i="1"/>
  <c r="D82" i="1"/>
  <c r="C13" i="1"/>
  <c r="M297" i="1"/>
  <c r="L297" i="1"/>
  <c r="L260" i="1"/>
  <c r="K260" i="1"/>
  <c r="I297" i="1"/>
  <c r="H297" i="1"/>
  <c r="G297" i="1"/>
  <c r="H260" i="1"/>
  <c r="G260" i="1"/>
  <c r="G224" i="1"/>
  <c r="E297" i="1"/>
  <c r="D297" i="1"/>
  <c r="C297" i="1"/>
  <c r="D260" i="1"/>
  <c r="C260" i="1"/>
  <c r="C224" i="1"/>
  <c r="M188" i="1"/>
  <c r="L188" i="1"/>
  <c r="K188" i="1"/>
  <c r="K153" i="1"/>
  <c r="K117" i="1"/>
  <c r="I188" i="1"/>
  <c r="H188" i="1"/>
  <c r="G188" i="1"/>
  <c r="G153" i="1"/>
  <c r="G117" i="1"/>
  <c r="E188" i="1"/>
  <c r="D188" i="1"/>
  <c r="C188" i="1"/>
  <c r="C153" i="1"/>
  <c r="C117" i="1"/>
  <c r="L81" i="1"/>
  <c r="K81" i="1"/>
  <c r="K46" i="1"/>
  <c r="K12" i="1"/>
  <c r="I81" i="1"/>
  <c r="H81" i="1"/>
  <c r="G81" i="1"/>
  <c r="G46" i="1"/>
  <c r="G12" i="1"/>
  <c r="D81" i="1"/>
  <c r="C81" i="1"/>
  <c r="C46" i="1"/>
  <c r="C12" i="1"/>
  <c r="M296" i="1"/>
  <c r="L296" i="1"/>
  <c r="I296" i="1"/>
  <c r="H296" i="1"/>
  <c r="G296" i="1"/>
  <c r="E296" i="1"/>
  <c r="D296" i="1"/>
  <c r="C296" i="1"/>
  <c r="M295" i="1"/>
  <c r="L295" i="1"/>
  <c r="I295" i="1"/>
  <c r="H295" i="1"/>
  <c r="G295" i="1"/>
  <c r="E295" i="1"/>
  <c r="D295" i="1"/>
  <c r="C295" i="1"/>
  <c r="M294" i="1"/>
  <c r="L294" i="1"/>
  <c r="I294" i="1"/>
  <c r="H294" i="1"/>
  <c r="G294" i="1"/>
  <c r="E294" i="1"/>
  <c r="D294" i="1"/>
  <c r="M293" i="1"/>
  <c r="L293" i="1"/>
  <c r="I293" i="1"/>
  <c r="H293" i="1"/>
  <c r="G293" i="1"/>
  <c r="E293" i="1"/>
  <c r="D293" i="1"/>
  <c r="C293" i="1"/>
  <c r="M292" i="1"/>
  <c r="L292" i="1"/>
  <c r="I292" i="1"/>
  <c r="H292" i="1"/>
  <c r="G292" i="1"/>
  <c r="E292" i="1"/>
  <c r="D292" i="1"/>
  <c r="M291" i="1"/>
  <c r="L291" i="1"/>
  <c r="I291" i="1"/>
  <c r="H291" i="1"/>
  <c r="G291" i="1"/>
  <c r="E291" i="1"/>
  <c r="D291" i="1"/>
  <c r="M290" i="1"/>
  <c r="L290" i="1"/>
  <c r="I290" i="1"/>
  <c r="H290" i="1"/>
  <c r="G290" i="1"/>
  <c r="E290" i="1"/>
  <c r="D290" i="1"/>
  <c r="C290" i="1"/>
  <c r="M289" i="1"/>
  <c r="L289" i="1"/>
  <c r="I289" i="1"/>
  <c r="H289" i="1"/>
  <c r="G289" i="1"/>
  <c r="E289" i="1"/>
  <c r="D289" i="1"/>
  <c r="C289" i="1"/>
  <c r="M288" i="1"/>
  <c r="L288" i="1"/>
  <c r="I288" i="1"/>
  <c r="H288" i="1"/>
  <c r="G288" i="1"/>
  <c r="E288" i="1"/>
  <c r="D288" i="1"/>
  <c r="C288" i="1"/>
  <c r="M287" i="1"/>
  <c r="L287" i="1"/>
  <c r="I287" i="1"/>
  <c r="H287" i="1"/>
  <c r="G287" i="1"/>
  <c r="E287" i="1"/>
  <c r="D287" i="1"/>
  <c r="C287" i="1"/>
  <c r="L259" i="1"/>
  <c r="K259" i="1"/>
  <c r="H259" i="1"/>
  <c r="G259" i="1"/>
  <c r="D259" i="1"/>
  <c r="C259" i="1"/>
  <c r="L258" i="1"/>
  <c r="K258" i="1"/>
  <c r="H258" i="1"/>
  <c r="G258" i="1"/>
  <c r="D258" i="1"/>
  <c r="C258" i="1"/>
  <c r="L257" i="1"/>
  <c r="K257" i="1"/>
  <c r="H257" i="1"/>
  <c r="G257" i="1"/>
  <c r="D257" i="1"/>
  <c r="C257" i="1"/>
  <c r="L256" i="1"/>
  <c r="K256" i="1"/>
  <c r="H256" i="1"/>
  <c r="G256" i="1"/>
  <c r="D256" i="1"/>
  <c r="C256" i="1"/>
  <c r="L255" i="1"/>
  <c r="K255" i="1"/>
  <c r="H255" i="1"/>
  <c r="G255" i="1"/>
  <c r="D255" i="1"/>
  <c r="C255" i="1"/>
  <c r="L254" i="1"/>
  <c r="K254" i="1"/>
  <c r="H254" i="1"/>
  <c r="G254" i="1"/>
  <c r="D254" i="1"/>
  <c r="L253" i="1"/>
  <c r="K253" i="1"/>
  <c r="H253" i="1"/>
  <c r="G253" i="1"/>
  <c r="D253" i="1"/>
  <c r="C253" i="1"/>
  <c r="L252" i="1"/>
  <c r="K252" i="1"/>
  <c r="H252" i="1"/>
  <c r="G252" i="1"/>
  <c r="D252" i="1"/>
  <c r="C252" i="1"/>
  <c r="L251" i="1"/>
  <c r="K251" i="1"/>
  <c r="H251" i="1"/>
  <c r="G251" i="1"/>
  <c r="D251" i="1"/>
  <c r="C251" i="1"/>
  <c r="L250" i="1"/>
  <c r="K250" i="1"/>
  <c r="H250" i="1"/>
  <c r="G250" i="1"/>
  <c r="D250" i="1"/>
  <c r="C250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M187" i="1"/>
  <c r="L187" i="1"/>
  <c r="K187" i="1"/>
  <c r="I187" i="1"/>
  <c r="H187" i="1"/>
  <c r="G187" i="1"/>
  <c r="E187" i="1"/>
  <c r="D187" i="1"/>
  <c r="C187" i="1"/>
  <c r="M186" i="1"/>
  <c r="L186" i="1"/>
  <c r="K186" i="1"/>
  <c r="I186" i="1"/>
  <c r="H186" i="1"/>
  <c r="G186" i="1"/>
  <c r="E186" i="1"/>
  <c r="D186" i="1"/>
  <c r="C186" i="1"/>
  <c r="M185" i="1"/>
  <c r="L185" i="1"/>
  <c r="K185" i="1"/>
  <c r="I185" i="1"/>
  <c r="H185" i="1"/>
  <c r="G185" i="1"/>
  <c r="E185" i="1"/>
  <c r="D185" i="1"/>
  <c r="C185" i="1"/>
  <c r="M184" i="1"/>
  <c r="L184" i="1"/>
  <c r="K184" i="1"/>
  <c r="I184" i="1"/>
  <c r="H184" i="1"/>
  <c r="G184" i="1"/>
  <c r="E184" i="1"/>
  <c r="D184" i="1"/>
  <c r="C184" i="1"/>
  <c r="M183" i="1"/>
  <c r="L183" i="1"/>
  <c r="K183" i="1"/>
  <c r="I183" i="1"/>
  <c r="H183" i="1"/>
  <c r="G183" i="1"/>
  <c r="E183" i="1"/>
  <c r="D183" i="1"/>
  <c r="C183" i="1"/>
  <c r="M182" i="1"/>
  <c r="L182" i="1"/>
  <c r="K182" i="1"/>
  <c r="I182" i="1"/>
  <c r="H182" i="1"/>
  <c r="G182" i="1"/>
  <c r="E182" i="1"/>
  <c r="D182" i="1"/>
  <c r="C182" i="1"/>
  <c r="M181" i="1"/>
  <c r="L181" i="1"/>
  <c r="K181" i="1"/>
  <c r="I181" i="1"/>
  <c r="H181" i="1"/>
  <c r="G181" i="1"/>
  <c r="E181" i="1"/>
  <c r="D181" i="1"/>
  <c r="C181" i="1"/>
  <c r="M180" i="1"/>
  <c r="L180" i="1"/>
  <c r="K180" i="1"/>
  <c r="I180" i="1"/>
  <c r="H180" i="1"/>
  <c r="G180" i="1"/>
  <c r="E180" i="1"/>
  <c r="D180" i="1"/>
  <c r="C180" i="1"/>
  <c r="M179" i="1"/>
  <c r="L179" i="1"/>
  <c r="K179" i="1"/>
  <c r="I179" i="1"/>
  <c r="H179" i="1"/>
  <c r="G179" i="1"/>
  <c r="E179" i="1"/>
  <c r="D179" i="1"/>
  <c r="C179" i="1"/>
  <c r="M178" i="1"/>
  <c r="L178" i="1"/>
  <c r="K178" i="1"/>
  <c r="I178" i="1"/>
  <c r="H178" i="1"/>
  <c r="G178" i="1"/>
  <c r="E178" i="1"/>
  <c r="D178" i="1"/>
  <c r="C178" i="1"/>
  <c r="K152" i="1"/>
  <c r="G152" i="1"/>
  <c r="C152" i="1"/>
  <c r="K151" i="1"/>
  <c r="G151" i="1"/>
  <c r="C151" i="1"/>
  <c r="K150" i="1"/>
  <c r="G150" i="1"/>
  <c r="C150" i="1"/>
  <c r="K149" i="1"/>
  <c r="G149" i="1"/>
  <c r="C149" i="1"/>
  <c r="K148" i="1"/>
  <c r="G148" i="1"/>
  <c r="C148" i="1"/>
  <c r="K147" i="1"/>
  <c r="G147" i="1"/>
  <c r="C147" i="1"/>
  <c r="K146" i="1"/>
  <c r="G146" i="1"/>
  <c r="C146" i="1"/>
  <c r="K145" i="1"/>
  <c r="G145" i="1"/>
  <c r="C145" i="1"/>
  <c r="K144" i="1"/>
  <c r="G144" i="1"/>
  <c r="C144" i="1"/>
  <c r="K143" i="1"/>
  <c r="G143" i="1"/>
  <c r="C143" i="1"/>
  <c r="K116" i="1"/>
  <c r="G116" i="1"/>
  <c r="C116" i="1"/>
  <c r="K115" i="1"/>
  <c r="G115" i="1"/>
  <c r="C115" i="1"/>
  <c r="K114" i="1"/>
  <c r="G114" i="1"/>
  <c r="C114" i="1"/>
  <c r="K113" i="1"/>
  <c r="G113" i="1"/>
  <c r="C113" i="1"/>
  <c r="K112" i="1"/>
  <c r="G112" i="1"/>
  <c r="C112" i="1"/>
  <c r="K111" i="1"/>
  <c r="G111" i="1"/>
  <c r="C111" i="1"/>
  <c r="K110" i="1"/>
  <c r="G110" i="1"/>
  <c r="C110" i="1"/>
  <c r="K109" i="1"/>
  <c r="G109" i="1"/>
  <c r="C109" i="1"/>
  <c r="K108" i="1"/>
  <c r="G108" i="1"/>
  <c r="C108" i="1"/>
  <c r="K107" i="1"/>
  <c r="G107" i="1"/>
  <c r="C107" i="1"/>
  <c r="L80" i="1"/>
  <c r="K80" i="1"/>
  <c r="I80" i="1"/>
  <c r="H80" i="1"/>
  <c r="G80" i="1"/>
  <c r="D80" i="1"/>
  <c r="L79" i="1"/>
  <c r="K79" i="1"/>
  <c r="I79" i="1"/>
  <c r="H79" i="1"/>
  <c r="G79" i="1"/>
  <c r="D79" i="1"/>
  <c r="L78" i="1"/>
  <c r="K78" i="1"/>
  <c r="I78" i="1"/>
  <c r="H78" i="1"/>
  <c r="G78" i="1"/>
  <c r="D78" i="1"/>
  <c r="L77" i="1"/>
  <c r="K77" i="1"/>
  <c r="I77" i="1"/>
  <c r="H77" i="1"/>
  <c r="G77" i="1"/>
  <c r="D77" i="1"/>
  <c r="L76" i="1"/>
  <c r="K76" i="1"/>
  <c r="I76" i="1"/>
  <c r="H76" i="1"/>
  <c r="G76" i="1"/>
  <c r="D76" i="1"/>
  <c r="L75" i="1"/>
  <c r="K75" i="1"/>
  <c r="I75" i="1"/>
  <c r="H75" i="1"/>
  <c r="G75" i="1"/>
  <c r="D75" i="1"/>
  <c r="L74" i="1"/>
  <c r="K74" i="1"/>
  <c r="I74" i="1"/>
  <c r="H74" i="1"/>
  <c r="G74" i="1"/>
  <c r="D74" i="1"/>
  <c r="C74" i="1"/>
  <c r="L73" i="1"/>
  <c r="K73" i="1"/>
  <c r="I73" i="1"/>
  <c r="H73" i="1"/>
  <c r="G73" i="1"/>
  <c r="D73" i="1"/>
  <c r="C73" i="1"/>
  <c r="K45" i="1"/>
  <c r="G45" i="1"/>
  <c r="C45" i="1"/>
  <c r="K44" i="1"/>
  <c r="G44" i="1"/>
  <c r="C44" i="1"/>
  <c r="K43" i="1"/>
  <c r="G43" i="1"/>
  <c r="C43" i="1"/>
  <c r="K42" i="1"/>
  <c r="G42" i="1"/>
  <c r="C42" i="1"/>
  <c r="K41" i="1"/>
  <c r="G41" i="1"/>
  <c r="C41" i="1"/>
  <c r="K40" i="1"/>
  <c r="G40" i="1"/>
  <c r="C40" i="1"/>
  <c r="K39" i="1"/>
  <c r="G39" i="1"/>
  <c r="C39" i="1"/>
  <c r="K38" i="1"/>
  <c r="G38" i="1"/>
  <c r="C38" i="1"/>
  <c r="K37" i="1"/>
  <c r="G37" i="1"/>
  <c r="C37" i="1"/>
  <c r="K36" i="1"/>
  <c r="G36" i="1"/>
  <c r="C36" i="1"/>
  <c r="K11" i="1"/>
  <c r="G11" i="1"/>
  <c r="C11" i="1"/>
  <c r="K10" i="1"/>
  <c r="G10" i="1"/>
  <c r="C10" i="1"/>
  <c r="K9" i="1"/>
  <c r="G9" i="1"/>
  <c r="C9" i="1"/>
  <c r="K8" i="1"/>
  <c r="G8" i="1"/>
  <c r="C8" i="1"/>
  <c r="K7" i="1"/>
  <c r="G7" i="1"/>
  <c r="C7" i="1"/>
  <c r="K6" i="1"/>
  <c r="G6" i="1"/>
  <c r="C6" i="1"/>
  <c r="K5" i="1"/>
  <c r="G5" i="1"/>
  <c r="C5" i="1"/>
  <c r="K4" i="1"/>
  <c r="G4" i="1"/>
  <c r="C4" i="1"/>
  <c r="K3" i="1"/>
  <c r="G3" i="1"/>
  <c r="C3" i="1"/>
  <c r="K2" i="1"/>
  <c r="G2" i="1"/>
  <c r="C2" i="1"/>
  <c r="B324" i="1" l="1"/>
  <c r="B326" i="1"/>
  <c r="B325" i="1"/>
  <c r="B350" i="1"/>
  <c r="B375" i="1"/>
  <c r="B351" i="1"/>
  <c r="B377" i="1"/>
  <c r="B352" i="1"/>
  <c r="B376" i="1"/>
  <c r="B154" i="1"/>
  <c r="B47" i="1"/>
  <c r="B118" i="1"/>
  <c r="B82" i="1"/>
  <c r="B261" i="1"/>
  <c r="B189" i="1"/>
  <c r="B13" i="1"/>
  <c r="B260" i="1"/>
  <c r="B153" i="1"/>
  <c r="B12" i="1"/>
  <c r="B188" i="1"/>
  <c r="B81" i="1"/>
  <c r="B46" i="1"/>
  <c r="B117" i="1"/>
  <c r="B148" i="1"/>
  <c r="B147" i="1"/>
  <c r="B256" i="1"/>
  <c r="B44" i="1"/>
  <c r="B115" i="1"/>
  <c r="B4" i="1"/>
  <c r="B7" i="1"/>
  <c r="B111" i="1"/>
  <c r="B109" i="1"/>
  <c r="B38" i="1"/>
  <c r="B113" i="1"/>
  <c r="B36" i="1"/>
  <c r="B145" i="1"/>
  <c r="B42" i="1"/>
  <c r="B143" i="1"/>
  <c r="B40" i="1"/>
  <c r="B107" i="1"/>
  <c r="B6" i="1"/>
  <c r="B108" i="1"/>
  <c r="B10" i="1"/>
  <c r="B37" i="1"/>
  <c r="B45" i="1"/>
  <c r="B2" i="1"/>
  <c r="B8" i="1"/>
  <c r="B110" i="1"/>
  <c r="B11" i="1"/>
  <c r="B80" i="1"/>
  <c r="B112" i="1"/>
  <c r="B150" i="1"/>
  <c r="B255" i="1"/>
  <c r="B257" i="1"/>
  <c r="B258" i="1"/>
  <c r="B9" i="1"/>
  <c r="B75" i="1"/>
  <c r="B250" i="1"/>
  <c r="B5" i="1"/>
  <c r="B182" i="1"/>
  <c r="B183" i="1"/>
  <c r="B186" i="1"/>
  <c r="B3" i="1"/>
  <c r="B43" i="1"/>
  <c r="B146" i="1"/>
  <c r="B178" i="1"/>
  <c r="B41" i="1"/>
  <c r="B144" i="1"/>
  <c r="B151" i="1"/>
  <c r="B39" i="1"/>
  <c r="B149" i="1"/>
  <c r="B152" i="1"/>
  <c r="B73" i="1"/>
  <c r="B253" i="1"/>
  <c r="B179" i="1"/>
  <c r="B252" i="1"/>
  <c r="B79" i="1"/>
  <c r="B184" i="1"/>
  <c r="B251" i="1"/>
  <c r="B181" i="1"/>
  <c r="B78" i="1"/>
  <c r="B187" i="1"/>
  <c r="B74" i="1"/>
  <c r="B77" i="1"/>
  <c r="B116" i="1"/>
  <c r="B185" i="1"/>
  <c r="B76" i="1"/>
  <c r="B114" i="1"/>
  <c r="B180" i="1"/>
</calcChain>
</file>

<file path=xl/sharedStrings.xml><?xml version="1.0" encoding="utf-8"?>
<sst xmlns="http://schemas.openxmlformats.org/spreadsheetml/2006/main" count="484" uniqueCount="154">
  <si>
    <t>老三图隐秘</t>
  </si>
  <si>
    <t>龙狙</t>
  </si>
  <si>
    <t>崭新</t>
  </si>
  <si>
    <t>秋叶原</t>
  </si>
  <si>
    <t>美杜莎</t>
  </si>
  <si>
    <t>2021/6.3</t>
  </si>
  <si>
    <t>2021/6.10</t>
  </si>
  <si>
    <t>2021/6.17</t>
  </si>
  <si>
    <t>2021/6.22</t>
  </si>
  <si>
    <t>2021/6.26</t>
  </si>
  <si>
    <t>2021/7.10</t>
  </si>
  <si>
    <t>2021/7.23</t>
  </si>
  <si>
    <t>2021/7.30</t>
  </si>
  <si>
    <t>2021/8.23</t>
  </si>
  <si>
    <t>2021/9.6</t>
  </si>
  <si>
    <t>老三图保密</t>
  </si>
  <si>
    <t>骑士</t>
  </si>
  <si>
    <t>水栽竹</t>
  </si>
  <si>
    <t>波塞冬</t>
  </si>
  <si>
    <t>老三图受限</t>
  </si>
  <si>
    <t>沙鹰</t>
  </si>
  <si>
    <t>沙鹰（2）</t>
  </si>
  <si>
    <t>G3SG1</t>
  </si>
  <si>
    <t>中三图隐秘</t>
  </si>
  <si>
    <t>永恒</t>
  </si>
  <si>
    <t>野荷</t>
  </si>
  <si>
    <t>王子</t>
  </si>
  <si>
    <t>中三图保密</t>
  </si>
  <si>
    <t>雷神</t>
  </si>
  <si>
    <t>野百合</t>
  </si>
  <si>
    <t>五指短剑</t>
  </si>
  <si>
    <t>中三图受限</t>
  </si>
  <si>
    <t>绿沙鹰</t>
  </si>
  <si>
    <t>鸟狙</t>
  </si>
  <si>
    <t>格洛克</t>
  </si>
  <si>
    <t>新星</t>
  </si>
  <si>
    <t>新三图隐秘</t>
  </si>
  <si>
    <t>x射线</t>
  </si>
  <si>
    <t>冒险家</t>
  </si>
  <si>
    <t>渐变大狙</t>
  </si>
  <si>
    <t>2339+</t>
  </si>
  <si>
    <t>1000+</t>
  </si>
  <si>
    <t>2083+</t>
  </si>
  <si>
    <t>2447+</t>
  </si>
  <si>
    <t>2556+</t>
  </si>
  <si>
    <t>2597+</t>
  </si>
  <si>
    <t>2589+</t>
  </si>
  <si>
    <t>2457+</t>
  </si>
  <si>
    <t>2483+</t>
  </si>
  <si>
    <t>2445+</t>
  </si>
  <si>
    <t>2440+</t>
  </si>
  <si>
    <t>新三图保密</t>
  </si>
  <si>
    <t>狂蟒之灾</t>
  </si>
  <si>
    <t>美洲豹</t>
  </si>
  <si>
    <t>豹走</t>
  </si>
  <si>
    <t>锁定</t>
  </si>
  <si>
    <t>5096+</t>
  </si>
  <si>
    <t>1591+</t>
  </si>
  <si>
    <t>新三图受限</t>
  </si>
  <si>
    <t>咖喱</t>
  </si>
  <si>
    <t>连喷</t>
  </si>
  <si>
    <t>法玛斯</t>
  </si>
  <si>
    <t>6932+</t>
  </si>
  <si>
    <t>5268+</t>
  </si>
  <si>
    <t>6643+</t>
  </si>
  <si>
    <t>6599+</t>
  </si>
  <si>
    <t>6712+</t>
  </si>
  <si>
    <t>6740+</t>
  </si>
  <si>
    <t>6394+</t>
  </si>
  <si>
    <t>2021/9.20</t>
    <phoneticPr fontId="1" type="noConversion"/>
  </si>
  <si>
    <t>1000+</t>
    <phoneticPr fontId="1" type="noConversion"/>
  </si>
  <si>
    <t>2467+</t>
    <phoneticPr fontId="1" type="noConversion"/>
  </si>
  <si>
    <t>6568+</t>
    <phoneticPr fontId="1" type="noConversion"/>
  </si>
  <si>
    <t>7025+</t>
    <phoneticPr fontId="1" type="noConversion"/>
  </si>
  <si>
    <t>7259+</t>
    <phoneticPr fontId="1" type="noConversion"/>
  </si>
  <si>
    <t>6970+</t>
    <phoneticPr fontId="1" type="noConversion"/>
  </si>
  <si>
    <t>2021/9.29</t>
    <phoneticPr fontId="1" type="noConversion"/>
  </si>
  <si>
    <t>1000+</t>
    <phoneticPr fontId="1" type="noConversion"/>
  </si>
  <si>
    <t>2363+</t>
    <phoneticPr fontId="1" type="noConversion"/>
  </si>
  <si>
    <t>6536+</t>
    <phoneticPr fontId="1" type="noConversion"/>
  </si>
  <si>
    <t>214图隐秘</t>
    <phoneticPr fontId="1" type="noConversion"/>
  </si>
  <si>
    <t>214图保密</t>
    <phoneticPr fontId="1" type="noConversion"/>
  </si>
  <si>
    <t>214图受限</t>
    <phoneticPr fontId="1" type="noConversion"/>
  </si>
  <si>
    <t>紧迫危机</t>
    <phoneticPr fontId="1" type="noConversion"/>
  </si>
  <si>
    <t>九头蛇狙</t>
    <phoneticPr fontId="1" type="noConversion"/>
  </si>
  <si>
    <t>咖喱</t>
    <phoneticPr fontId="1" type="noConversion"/>
  </si>
  <si>
    <t>崭新</t>
    <phoneticPr fontId="1" type="noConversion"/>
  </si>
  <si>
    <t>鸟狙</t>
    <phoneticPr fontId="1" type="noConversion"/>
  </si>
  <si>
    <t>沙鹰</t>
    <phoneticPr fontId="1" type="noConversion"/>
  </si>
  <si>
    <t>AUG</t>
    <phoneticPr fontId="1" type="noConversion"/>
  </si>
  <si>
    <t>连喷</t>
    <phoneticPr fontId="1" type="noConversion"/>
  </si>
  <si>
    <t>格洛克</t>
    <phoneticPr fontId="1" type="noConversion"/>
  </si>
  <si>
    <t>2021/10.1</t>
    <phoneticPr fontId="1" type="noConversion"/>
  </si>
  <si>
    <t>MP5-SD</t>
    <phoneticPr fontId="1" type="noConversion"/>
  </si>
  <si>
    <t>UMP-45</t>
    <phoneticPr fontId="1" type="noConversion"/>
  </si>
  <si>
    <t>FN57</t>
    <phoneticPr fontId="1" type="noConversion"/>
  </si>
  <si>
    <t>MAG-7</t>
    <phoneticPr fontId="1" type="noConversion"/>
  </si>
  <si>
    <t>P250</t>
    <phoneticPr fontId="1" type="noConversion"/>
  </si>
  <si>
    <t>M4A4</t>
    <phoneticPr fontId="1" type="noConversion"/>
  </si>
  <si>
    <t>MAC-10</t>
    <phoneticPr fontId="1" type="noConversion"/>
  </si>
  <si>
    <t>USP</t>
    <phoneticPr fontId="1" type="noConversion"/>
  </si>
  <si>
    <t>黄金AK</t>
    <phoneticPr fontId="1" type="noConversion"/>
  </si>
  <si>
    <t>2021/10.3</t>
    <phoneticPr fontId="1" type="noConversion"/>
  </si>
  <si>
    <t>2021/10.6</t>
    <phoneticPr fontId="1" type="noConversion"/>
  </si>
  <si>
    <t>USP</t>
    <phoneticPr fontId="1" type="noConversion"/>
  </si>
  <si>
    <t>MAC-10</t>
    <phoneticPr fontId="1" type="noConversion"/>
  </si>
  <si>
    <t>CZ75</t>
    <phoneticPr fontId="1" type="noConversion"/>
  </si>
  <si>
    <t>FN57</t>
    <phoneticPr fontId="1" type="noConversion"/>
  </si>
  <si>
    <t>M4A4</t>
    <phoneticPr fontId="1" type="noConversion"/>
  </si>
  <si>
    <t>M4A1</t>
    <phoneticPr fontId="1" type="noConversion"/>
  </si>
  <si>
    <t>AUG</t>
    <phoneticPr fontId="1" type="noConversion"/>
  </si>
  <si>
    <t>P90</t>
    <phoneticPr fontId="1" type="noConversion"/>
  </si>
  <si>
    <t>MP9</t>
    <phoneticPr fontId="1" type="noConversion"/>
  </si>
  <si>
    <t>SG 553</t>
    <phoneticPr fontId="1" type="noConversion"/>
  </si>
  <si>
    <t>1000+</t>
    <phoneticPr fontId="1" type="noConversion"/>
  </si>
  <si>
    <t>2388+</t>
    <phoneticPr fontId="1" type="noConversion"/>
  </si>
  <si>
    <t>UMP-45</t>
    <phoneticPr fontId="1" type="noConversion"/>
  </si>
  <si>
    <t>6504+</t>
    <phoneticPr fontId="1" type="noConversion"/>
  </si>
  <si>
    <t>2021/11.26</t>
    <phoneticPr fontId="1" type="noConversion"/>
  </si>
  <si>
    <t>1000+</t>
    <phoneticPr fontId="1" type="noConversion"/>
  </si>
  <si>
    <t>2274+</t>
    <phoneticPr fontId="1" type="noConversion"/>
  </si>
  <si>
    <t>5898+</t>
    <phoneticPr fontId="1" type="noConversion"/>
  </si>
  <si>
    <t>2021/12.4</t>
    <phoneticPr fontId="1" type="noConversion"/>
  </si>
  <si>
    <t>1000+</t>
    <phoneticPr fontId="1" type="noConversion"/>
  </si>
  <si>
    <t>2169+</t>
    <phoneticPr fontId="1" type="noConversion"/>
  </si>
  <si>
    <t>5419+</t>
    <phoneticPr fontId="1" type="noConversion"/>
  </si>
  <si>
    <t>澜磷</t>
    <phoneticPr fontId="1" type="noConversion"/>
  </si>
  <si>
    <t>锦虎</t>
    <phoneticPr fontId="1" type="noConversion"/>
  </si>
  <si>
    <t>2021/12.11</t>
    <phoneticPr fontId="1" type="noConversion"/>
  </si>
  <si>
    <t>SG 553</t>
    <phoneticPr fontId="1" type="noConversion"/>
  </si>
  <si>
    <t>2021/12.20</t>
    <phoneticPr fontId="1" type="noConversion"/>
  </si>
  <si>
    <t>2022/1.13</t>
    <phoneticPr fontId="1" type="noConversion"/>
  </si>
  <si>
    <t>2022/1.26</t>
    <phoneticPr fontId="1" type="noConversion"/>
  </si>
  <si>
    <t>2022/2.4</t>
    <phoneticPr fontId="1" type="noConversion"/>
  </si>
  <si>
    <t>2022/2.13</t>
    <phoneticPr fontId="1" type="noConversion"/>
  </si>
  <si>
    <t>2022/2.18</t>
  </si>
  <si>
    <t>2022/2.18</t>
    <phoneticPr fontId="1" type="noConversion"/>
  </si>
  <si>
    <t>2022/3.17</t>
    <phoneticPr fontId="1" type="noConversion"/>
  </si>
  <si>
    <t>2022/3.20</t>
    <phoneticPr fontId="1" type="noConversion"/>
  </si>
  <si>
    <t>2022/4.12</t>
  </si>
  <si>
    <t>2022/4.12</t>
    <phoneticPr fontId="1" type="noConversion"/>
  </si>
  <si>
    <t>2022/4.18</t>
    <phoneticPr fontId="1" type="noConversion"/>
  </si>
  <si>
    <t>2022/5.9</t>
  </si>
  <si>
    <t>2022/5.9</t>
    <phoneticPr fontId="1" type="noConversion"/>
  </si>
  <si>
    <t>2022/5.15</t>
  </si>
  <si>
    <t>2022/5.15</t>
    <phoneticPr fontId="1" type="noConversion"/>
  </si>
  <si>
    <t>1000+</t>
    <phoneticPr fontId="1" type="noConversion"/>
  </si>
  <si>
    <t>2145+</t>
    <phoneticPr fontId="1" type="noConversion"/>
  </si>
  <si>
    <t>2022/6.10</t>
    <phoneticPr fontId="1" type="noConversion"/>
  </si>
  <si>
    <t>1000+</t>
    <phoneticPr fontId="1" type="noConversion"/>
  </si>
  <si>
    <t>2098+</t>
    <phoneticPr fontId="1" type="noConversion"/>
  </si>
  <si>
    <t>2022/6.26</t>
    <phoneticPr fontId="1" type="noConversion"/>
  </si>
  <si>
    <t>2099+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</si>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</sst>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等线"/>
      <family val="3"/>
      <charset val="134"/>
    </font>
    <font>
      <sz val="14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16</xdr:col>
      <xdr:colOff>115626</xdr:colOff>
      <xdr:row>9</xdr:row>
      <xdr:rowOff>137159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02407F3-4F8E-43FD-A782-8B958E6A08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10995660" y="44196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19</xdr:col>
      <xdr:colOff>274320</xdr:colOff>
      <xdr:row>9</xdr:row>
      <xdr:rowOff>155096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249A6D7-ABB5-441C-A55E-E00178C049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2961620" y="44196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5"/>
  <sheetViews>
    <sheetView tabSelected="1" topLeftCell="G1" zoomScaleNormal="100" workbookViewId="0">
      <selection activeCell="X8" sqref="X8"/>
    </sheetView>
  </sheetViews>
  <sheetFormatPr defaultColWidth="9" defaultRowHeight="17.399999999999999" x14ac:dyDescent="0.25"/>
  <cols>
    <col min="1" max="1" width="15.77734375" style="1" customWidth="1"/>
    <col min="2" max="2" width="14.77734375" style="1" customWidth="1"/>
    <col min="3" max="3" width="11.88671875" style="1" customWidth="1"/>
    <col min="4" max="4" width="11.109375" style="1" customWidth="1"/>
    <col min="5" max="6" width="10.44140625" style="1" customWidth="1"/>
    <col min="7" max="7" width="11.21875" style="1" customWidth="1"/>
    <col min="8" max="8" width="10.44140625" style="1" customWidth="1"/>
    <col min="9" max="9" width="11.109375" style="1" customWidth="1"/>
    <col min="10" max="10" width="9.77734375" style="1" customWidth="1"/>
    <col min="11" max="11" width="11.88671875" style="1" customWidth="1"/>
    <col min="12" max="12" width="11.21875" style="1" customWidth="1"/>
    <col min="13" max="13" width="8.88671875" style="1" customWidth="1"/>
    <col min="14" max="14" width="11.33203125" style="1" customWidth="1"/>
    <col min="15" max="15" width="10.6640625" style="1" customWidth="1"/>
    <col min="16" max="16384" width="9" style="1"/>
  </cols>
  <sheetData>
    <row r="1" spans="1:27" x14ac:dyDescent="0.25">
      <c r="B1" s="1" t="s">
        <v>0</v>
      </c>
      <c r="C1" s="1" t="s">
        <v>1</v>
      </c>
      <c r="D1" s="1" t="s">
        <v>2</v>
      </c>
      <c r="G1" s="1" t="s">
        <v>3</v>
      </c>
      <c r="H1" s="1" t="s">
        <v>2</v>
      </c>
      <c r="K1" s="1" t="s">
        <v>4</v>
      </c>
      <c r="L1" s="1" t="s">
        <v>2</v>
      </c>
      <c r="O1" s="6" t="s">
        <v>153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x14ac:dyDescent="0.25">
      <c r="A2" s="1" t="s">
        <v>5</v>
      </c>
      <c r="B2" s="1">
        <f t="shared" ref="B2:B10" si="0">C2+G2+K2</f>
        <v>1078</v>
      </c>
      <c r="C2" s="2">
        <f>327+114+149+2+25</f>
        <v>617</v>
      </c>
      <c r="D2" s="1">
        <v>80000</v>
      </c>
      <c r="G2" s="1">
        <f>38+70+81+29+29</f>
        <v>247</v>
      </c>
      <c r="H2" s="1">
        <v>36200</v>
      </c>
      <c r="K2" s="1">
        <f>28+68+59+38+21</f>
        <v>214</v>
      </c>
      <c r="L2" s="1">
        <v>35000</v>
      </c>
    </row>
    <row r="3" spans="1:27" x14ac:dyDescent="0.25">
      <c r="A3" s="1" t="s">
        <v>6</v>
      </c>
      <c r="B3" s="1">
        <f t="shared" si="0"/>
        <v>1109</v>
      </c>
      <c r="C3" s="1">
        <f>294+112+179+4+34</f>
        <v>623</v>
      </c>
      <c r="D3" s="1">
        <v>87000</v>
      </c>
      <c r="G3" s="1">
        <f>34+69+77+27+13</f>
        <v>220</v>
      </c>
      <c r="H3" s="1">
        <v>42000</v>
      </c>
      <c r="K3" s="1">
        <f>40+85+80+36+25</f>
        <v>266</v>
      </c>
      <c r="L3" s="1">
        <v>35650</v>
      </c>
    </row>
    <row r="4" spans="1:27" x14ac:dyDescent="0.25">
      <c r="A4" s="1" t="s">
        <v>7</v>
      </c>
      <c r="B4" s="1">
        <f t="shared" si="0"/>
        <v>1437</v>
      </c>
      <c r="C4" s="1">
        <f>371+148+226+7+32</f>
        <v>784</v>
      </c>
      <c r="D4" s="1">
        <v>84800</v>
      </c>
      <c r="G4" s="1">
        <f>40+97+102+40+29</f>
        <v>308</v>
      </c>
      <c r="H4" s="1">
        <v>40888</v>
      </c>
      <c r="K4" s="1">
        <f>42+115+107+43+38</f>
        <v>345</v>
      </c>
      <c r="L4" s="1">
        <v>37600</v>
      </c>
    </row>
    <row r="5" spans="1:27" x14ac:dyDescent="0.25">
      <c r="A5" s="1" t="s">
        <v>8</v>
      </c>
      <c r="B5" s="1">
        <f t="shared" si="0"/>
        <v>1532</v>
      </c>
      <c r="C5" s="1">
        <f>390+158+234+5+38</f>
        <v>825</v>
      </c>
      <c r="D5" s="1">
        <v>78500</v>
      </c>
      <c r="G5" s="1">
        <f>47+96+113+33+32</f>
        <v>321</v>
      </c>
      <c r="H5" s="1">
        <v>38000</v>
      </c>
      <c r="K5" s="1">
        <f>50+123+123+50+40</f>
        <v>386</v>
      </c>
      <c r="L5" s="1">
        <v>34290</v>
      </c>
    </row>
    <row r="6" spans="1:27" x14ac:dyDescent="0.25">
      <c r="A6" s="1" t="s">
        <v>9</v>
      </c>
      <c r="B6" s="1">
        <f t="shared" si="0"/>
        <v>1667</v>
      </c>
      <c r="C6" s="1">
        <f>426+178+241+5+42</f>
        <v>892</v>
      </c>
      <c r="D6" s="1">
        <v>74100</v>
      </c>
      <c r="G6" s="1">
        <f>50+117+125+35+27</f>
        <v>354</v>
      </c>
      <c r="H6" s="1">
        <v>37998</v>
      </c>
      <c r="K6" s="1">
        <f>55+129+142+56+39</f>
        <v>421</v>
      </c>
      <c r="L6" s="1">
        <v>33000</v>
      </c>
    </row>
    <row r="7" spans="1:27" x14ac:dyDescent="0.25">
      <c r="A7" s="1" t="s">
        <v>10</v>
      </c>
      <c r="B7" s="1">
        <f t="shared" si="0"/>
        <v>1733</v>
      </c>
      <c r="C7" s="1">
        <f>430+193+268+4+41</f>
        <v>936</v>
      </c>
      <c r="D7" s="1">
        <v>45000</v>
      </c>
      <c r="G7" s="1">
        <f>51+109+133+32+20</f>
        <v>345</v>
      </c>
      <c r="H7" s="1">
        <v>30900</v>
      </c>
      <c r="K7" s="1">
        <f>67+143+139+58+45</f>
        <v>452</v>
      </c>
      <c r="L7" s="1">
        <v>22000</v>
      </c>
    </row>
    <row r="8" spans="1:27" x14ac:dyDescent="0.25">
      <c r="A8" s="1" t="s">
        <v>11</v>
      </c>
      <c r="B8" s="1">
        <f t="shared" si="0"/>
        <v>1611</v>
      </c>
      <c r="C8" s="1">
        <f>453+153+244+5+29</f>
        <v>884</v>
      </c>
      <c r="D8" s="1">
        <v>60000</v>
      </c>
      <c r="G8" s="1">
        <f>46+112+120+25+19</f>
        <v>322</v>
      </c>
      <c r="H8" s="1">
        <v>32500</v>
      </c>
      <c r="K8" s="1">
        <f>66+123+111+59+46</f>
        <v>405</v>
      </c>
      <c r="L8" s="1">
        <v>25000</v>
      </c>
    </row>
    <row r="9" spans="1:27" x14ac:dyDescent="0.25">
      <c r="A9" s="1" t="s">
        <v>12</v>
      </c>
      <c r="B9" s="1">
        <f t="shared" si="0"/>
        <v>1690</v>
      </c>
      <c r="C9" s="1">
        <f>487+164+257+5+21</f>
        <v>934</v>
      </c>
      <c r="D9" s="1">
        <v>57998</v>
      </c>
      <c r="G9" s="1">
        <f>56+122+117+30+17</f>
        <v>342</v>
      </c>
      <c r="H9" s="1">
        <v>33000</v>
      </c>
      <c r="K9" s="1">
        <f>64+127+121+60+42</f>
        <v>414</v>
      </c>
      <c r="L9" s="1">
        <v>24000</v>
      </c>
    </row>
    <row r="10" spans="1:27" x14ac:dyDescent="0.25">
      <c r="A10" s="1" t="s">
        <v>13</v>
      </c>
      <c r="B10" s="1">
        <f t="shared" si="0"/>
        <v>1595</v>
      </c>
      <c r="C10" s="1">
        <f>469+166+227+7+21</f>
        <v>890</v>
      </c>
      <c r="D10" s="1">
        <v>59500</v>
      </c>
      <c r="G10" s="1">
        <f>59+109+108+18+22</f>
        <v>316</v>
      </c>
      <c r="H10" s="1">
        <v>28900</v>
      </c>
      <c r="K10" s="1">
        <f>67+114+118+52+38</f>
        <v>389</v>
      </c>
      <c r="L10" s="1">
        <v>24950</v>
      </c>
    </row>
    <row r="11" spans="1:27" x14ac:dyDescent="0.25">
      <c r="A11" s="1" t="s">
        <v>14</v>
      </c>
      <c r="B11" s="1">
        <f t="shared" ref="B11:B16" si="1">C11+G11+K11</f>
        <v>1565</v>
      </c>
      <c r="C11" s="1">
        <f>446+163+232+8+28</f>
        <v>877</v>
      </c>
      <c r="D11" s="1">
        <v>60800</v>
      </c>
      <c r="G11" s="1">
        <f>57+109+102+21+25</f>
        <v>314</v>
      </c>
      <c r="H11" s="1">
        <v>28400</v>
      </c>
      <c r="K11" s="1">
        <f>64+118+102+41+49</f>
        <v>374</v>
      </c>
      <c r="L11" s="1">
        <v>24000</v>
      </c>
    </row>
    <row r="12" spans="1:27" x14ac:dyDescent="0.25">
      <c r="A12" s="1" t="s">
        <v>69</v>
      </c>
      <c r="B12" s="1">
        <f t="shared" si="1"/>
        <v>1669</v>
      </c>
      <c r="C12" s="1">
        <f>486+161+246+7+34</f>
        <v>934</v>
      </c>
      <c r="D12" s="1">
        <v>60000</v>
      </c>
      <c r="G12" s="1">
        <f>59+113+122+29+26</f>
        <v>349</v>
      </c>
      <c r="H12" s="1">
        <v>27500</v>
      </c>
      <c r="K12" s="1">
        <f>64+118+117+46+41</f>
        <v>386</v>
      </c>
      <c r="L12" s="1">
        <v>22999</v>
      </c>
    </row>
    <row r="13" spans="1:27" x14ac:dyDescent="0.25">
      <c r="A13" s="1" t="s">
        <v>76</v>
      </c>
      <c r="B13" s="1">
        <f t="shared" si="1"/>
        <v>1660</v>
      </c>
      <c r="C13" s="1">
        <f>488+156+255+5+25</f>
        <v>929</v>
      </c>
      <c r="D13" s="1">
        <v>59500</v>
      </c>
      <c r="G13" s="1">
        <f>61+109+120+28+24</f>
        <v>342</v>
      </c>
      <c r="H13" s="1">
        <v>27199</v>
      </c>
      <c r="K13" s="1">
        <f>62+118+116+53+40</f>
        <v>389</v>
      </c>
      <c r="L13" s="1">
        <v>24000</v>
      </c>
    </row>
    <row r="14" spans="1:27" x14ac:dyDescent="0.25">
      <c r="A14" s="1" t="s">
        <v>103</v>
      </c>
      <c r="B14" s="1">
        <f t="shared" si="1"/>
        <v>1666</v>
      </c>
      <c r="C14" s="1">
        <f>491+160+261+5+26</f>
        <v>943</v>
      </c>
      <c r="D14" s="1">
        <v>59488</v>
      </c>
      <c r="G14" s="1">
        <f>60+113+118+21+25</f>
        <v>337</v>
      </c>
      <c r="H14" s="1">
        <v>27300</v>
      </c>
      <c r="K14" s="1">
        <f>65+114+114+52+41</f>
        <v>386</v>
      </c>
      <c r="L14" s="1">
        <v>23886</v>
      </c>
    </row>
    <row r="15" spans="1:27" x14ac:dyDescent="0.25">
      <c r="A15" s="1" t="s">
        <v>118</v>
      </c>
      <c r="B15" s="1">
        <f t="shared" si="1"/>
        <v>1643</v>
      </c>
      <c r="C15" s="1">
        <f>486+161+256+5+15</f>
        <v>923</v>
      </c>
      <c r="D15" s="1">
        <v>55499</v>
      </c>
      <c r="G15" s="1">
        <f>63+123+131+26+21</f>
        <v>364</v>
      </c>
      <c r="H15" s="1">
        <v>25001</v>
      </c>
      <c r="K15" s="1">
        <f>57+103+96+54+46</f>
        <v>356</v>
      </c>
      <c r="L15" s="1">
        <v>23400</v>
      </c>
    </row>
    <row r="16" spans="1:27" x14ac:dyDescent="0.25">
      <c r="A16" s="1" t="s">
        <v>122</v>
      </c>
      <c r="B16" s="1">
        <f t="shared" si="1"/>
        <v>1503</v>
      </c>
      <c r="C16" s="1">
        <f>465+155+225+3+15</f>
        <v>863</v>
      </c>
      <c r="D16" s="1">
        <v>58500</v>
      </c>
      <c r="G16" s="1">
        <f>56+103+113+22+17</f>
        <v>311</v>
      </c>
      <c r="H16" s="1">
        <v>24500</v>
      </c>
      <c r="K16" s="1">
        <f>56+101+82+48+42</f>
        <v>329</v>
      </c>
      <c r="L16" s="1">
        <v>23550</v>
      </c>
    </row>
    <row r="17" spans="1:12" x14ac:dyDescent="0.25">
      <c r="A17" s="1" t="s">
        <v>128</v>
      </c>
      <c r="B17" s="1">
        <f t="shared" ref="B17:B22" si="2">C17+G17+K17</f>
        <v>1432</v>
      </c>
      <c r="C17" s="1">
        <f>453+149+196+4+16</f>
        <v>818</v>
      </c>
      <c r="D17" s="1">
        <v>60300</v>
      </c>
      <c r="G17" s="1">
        <f>54+108+111+21+18</f>
        <v>312</v>
      </c>
      <c r="H17" s="1">
        <v>27800</v>
      </c>
      <c r="K17" s="1">
        <f>51+92+80+40+39</f>
        <v>302</v>
      </c>
      <c r="L17" s="1">
        <v>24999</v>
      </c>
    </row>
    <row r="18" spans="1:12" x14ac:dyDescent="0.25">
      <c r="A18" s="1" t="s">
        <v>130</v>
      </c>
      <c r="B18" s="1">
        <f t="shared" si="2"/>
        <v>1497</v>
      </c>
      <c r="C18" s="1">
        <f>459+149+213+6+24</f>
        <v>851</v>
      </c>
      <c r="D18" s="1">
        <v>60500</v>
      </c>
      <c r="G18" s="1">
        <f>57+115+115+22+16</f>
        <v>325</v>
      </c>
      <c r="H18" s="1">
        <v>27777</v>
      </c>
      <c r="K18" s="1">
        <f>52+99+91+42+37</f>
        <v>321</v>
      </c>
      <c r="L18" s="1">
        <v>25500</v>
      </c>
    </row>
    <row r="19" spans="1:12" x14ac:dyDescent="0.25">
      <c r="A19" s="1" t="s">
        <v>131</v>
      </c>
      <c r="B19" s="1">
        <f t="shared" si="2"/>
        <v>1628</v>
      </c>
      <c r="C19" s="1">
        <f>503+175+254+26</f>
        <v>958</v>
      </c>
      <c r="D19" s="1">
        <v>58885</v>
      </c>
      <c r="G19" s="1">
        <f>59+108+112+25+24</f>
        <v>328</v>
      </c>
      <c r="H19" s="1">
        <v>27989</v>
      </c>
      <c r="K19" s="1">
        <f>58+108+87+54+35</f>
        <v>342</v>
      </c>
      <c r="L19" s="1">
        <v>25475</v>
      </c>
    </row>
    <row r="20" spans="1:12" x14ac:dyDescent="0.25">
      <c r="A20" s="1" t="s">
        <v>132</v>
      </c>
      <c r="B20" s="1">
        <f t="shared" si="2"/>
        <v>1649</v>
      </c>
      <c r="C20" s="1">
        <f>506+178+250+1+28</f>
        <v>963</v>
      </c>
      <c r="D20" s="1">
        <v>57666</v>
      </c>
      <c r="G20" s="1">
        <f>68+113+109+25+34</f>
        <v>349</v>
      </c>
      <c r="H20" s="1">
        <v>26666</v>
      </c>
      <c r="K20" s="1">
        <f>62+108+95+44+28</f>
        <v>337</v>
      </c>
      <c r="L20" s="1">
        <v>25000</v>
      </c>
    </row>
    <row r="21" spans="1:12" x14ac:dyDescent="0.25">
      <c r="A21" s="1" t="s">
        <v>133</v>
      </c>
      <c r="B21" s="1">
        <f t="shared" si="2"/>
        <v>1625</v>
      </c>
      <c r="C21" s="1">
        <f>521+178+254+1+31</f>
        <v>985</v>
      </c>
      <c r="D21" s="1">
        <v>58300</v>
      </c>
      <c r="G21" s="1">
        <f>65+112+109+20+29</f>
        <v>335</v>
      </c>
      <c r="H21" s="1">
        <v>26087</v>
      </c>
      <c r="K21" s="1">
        <f>55+97+85+35+33</f>
        <v>305</v>
      </c>
      <c r="L21" s="1">
        <v>25449</v>
      </c>
    </row>
    <row r="22" spans="1:12" x14ac:dyDescent="0.25">
      <c r="A22" s="1" t="s">
        <v>134</v>
      </c>
      <c r="B22" s="1">
        <f t="shared" si="2"/>
        <v>1679</v>
      </c>
      <c r="C22" s="1">
        <f>518+181+260+2+26</f>
        <v>987</v>
      </c>
      <c r="D22" s="1">
        <v>57488</v>
      </c>
      <c r="G22" s="1">
        <f>66+120+123+27+23</f>
        <v>359</v>
      </c>
      <c r="H22" s="1">
        <v>27500</v>
      </c>
      <c r="K22" s="1">
        <f>59+111+88+39+36</f>
        <v>333</v>
      </c>
      <c r="L22" s="1">
        <v>25988</v>
      </c>
    </row>
    <row r="23" spans="1:12" x14ac:dyDescent="0.25">
      <c r="A23" s="1" t="s">
        <v>135</v>
      </c>
      <c r="B23" s="1">
        <f t="shared" ref="B23:B30" si="3">C23+G23+K23</f>
        <v>1686</v>
      </c>
      <c r="C23" s="1">
        <f>515+188+252+2+27</f>
        <v>984</v>
      </c>
      <c r="D23" s="1">
        <v>57000</v>
      </c>
      <c r="G23" s="1">
        <f>66+115+121+26+22</f>
        <v>350</v>
      </c>
      <c r="H23" s="1">
        <v>27000</v>
      </c>
      <c r="K23" s="1">
        <f>64+111+96+45+36</f>
        <v>352</v>
      </c>
      <c r="L23" s="1">
        <v>25949</v>
      </c>
    </row>
    <row r="24" spans="1:12" x14ac:dyDescent="0.25">
      <c r="A24" s="1" t="s">
        <v>138</v>
      </c>
      <c r="B24" s="1">
        <f t="shared" si="3"/>
        <v>1431</v>
      </c>
      <c r="C24" s="1">
        <f>475+170+181+1+25</f>
        <v>852</v>
      </c>
      <c r="D24" s="1">
        <v>58300</v>
      </c>
      <c r="G24" s="1">
        <f>62+106+91+24+28</f>
        <v>311</v>
      </c>
      <c r="H24" s="1">
        <v>26500</v>
      </c>
      <c r="K24" s="1">
        <f>54+82+71+33+28</f>
        <v>268</v>
      </c>
      <c r="L24" s="1">
        <v>25490</v>
      </c>
    </row>
    <row r="25" spans="1:12" x14ac:dyDescent="0.25">
      <c r="A25" s="1" t="s">
        <v>140</v>
      </c>
      <c r="B25" s="1">
        <f t="shared" si="3"/>
        <v>1431</v>
      </c>
      <c r="C25" s="1">
        <f>493+130+185+2+21</f>
        <v>831</v>
      </c>
      <c r="D25" s="1">
        <v>60399</v>
      </c>
      <c r="G25" s="1">
        <f>60+100+94+30+24</f>
        <v>308</v>
      </c>
      <c r="H25" s="1">
        <v>26800</v>
      </c>
      <c r="K25" s="1">
        <f>50+89+80+43+30</f>
        <v>292</v>
      </c>
      <c r="L25" s="1">
        <v>25678</v>
      </c>
    </row>
    <row r="26" spans="1:12" x14ac:dyDescent="0.25">
      <c r="A26" s="1" t="s">
        <v>141</v>
      </c>
      <c r="B26" s="1">
        <f t="shared" si="3"/>
        <v>1382</v>
      </c>
      <c r="C26" s="1">
        <f>481+123+174+1+24</f>
        <v>803</v>
      </c>
      <c r="D26" s="1">
        <v>60400</v>
      </c>
      <c r="G26" s="1">
        <f>66+96+82+25+23</f>
        <v>292</v>
      </c>
      <c r="H26" s="1">
        <v>26777</v>
      </c>
      <c r="K26" s="1">
        <f>54+85+78+38+32</f>
        <v>287</v>
      </c>
      <c r="L26" s="1">
        <v>25092</v>
      </c>
    </row>
    <row r="27" spans="1:12" x14ac:dyDescent="0.25">
      <c r="A27" s="1" t="s">
        <v>143</v>
      </c>
      <c r="B27" s="1">
        <f t="shared" si="3"/>
        <v>1522</v>
      </c>
      <c r="C27" s="1">
        <f>505+142+198+2+31</f>
        <v>878</v>
      </c>
      <c r="D27" s="1">
        <v>60500</v>
      </c>
      <c r="G27" s="1">
        <f>61+95+105+37+19</f>
        <v>317</v>
      </c>
      <c r="H27" s="1">
        <v>26998</v>
      </c>
      <c r="K27" s="1">
        <f>62+83+87+55+40</f>
        <v>327</v>
      </c>
      <c r="L27" s="1">
        <v>24555</v>
      </c>
    </row>
    <row r="28" spans="1:12" x14ac:dyDescent="0.25">
      <c r="A28" s="1" t="s">
        <v>145</v>
      </c>
      <c r="B28" s="1">
        <f t="shared" si="3"/>
        <v>1561</v>
      </c>
      <c r="C28" s="1">
        <f>512+147+218+3+29</f>
        <v>909</v>
      </c>
      <c r="D28" s="1">
        <v>60665</v>
      </c>
      <c r="G28" s="1">
        <f>67+105+101+35+20</f>
        <v>328</v>
      </c>
      <c r="H28" s="1">
        <v>26000</v>
      </c>
      <c r="K28" s="1">
        <f>60+83+86+57+38</f>
        <v>324</v>
      </c>
      <c r="L28" s="1">
        <v>25000</v>
      </c>
    </row>
    <row r="29" spans="1:12" x14ac:dyDescent="0.25">
      <c r="A29" s="1" t="s">
        <v>148</v>
      </c>
      <c r="B29" s="1">
        <f t="shared" si="3"/>
        <v>1512</v>
      </c>
      <c r="C29" s="1">
        <f>501+151+215+2+23</f>
        <v>892</v>
      </c>
      <c r="D29" s="1">
        <v>59999</v>
      </c>
      <c r="G29" s="1">
        <f>62+101+101+37+27</f>
        <v>328</v>
      </c>
      <c r="H29" s="1">
        <v>23899</v>
      </c>
      <c r="K29" s="1">
        <f>56+73+81+49+33</f>
        <v>292</v>
      </c>
      <c r="L29" s="1">
        <v>23725</v>
      </c>
    </row>
    <row r="30" spans="1:12" x14ac:dyDescent="0.25">
      <c r="A30" s="1" t="s">
        <v>151</v>
      </c>
      <c r="B30" s="1">
        <f t="shared" si="3"/>
        <v>1431</v>
      </c>
      <c r="C30" s="1">
        <f>494+144+200+2+23</f>
        <v>863</v>
      </c>
      <c r="D30" s="1">
        <v>60499</v>
      </c>
      <c r="G30" s="1">
        <f>59+79+74+39+33</f>
        <v>284</v>
      </c>
      <c r="H30" s="1">
        <v>24699</v>
      </c>
      <c r="K30" s="1">
        <f>59+79+74+39+33</f>
        <v>284</v>
      </c>
      <c r="L30" s="1">
        <v>24699</v>
      </c>
    </row>
    <row r="35" spans="1:12" x14ac:dyDescent="0.25">
      <c r="B35" s="1" t="s">
        <v>15</v>
      </c>
      <c r="C35" s="1" t="s">
        <v>16</v>
      </c>
      <c r="G35" s="1" t="s">
        <v>17</v>
      </c>
      <c r="K35" s="1" t="s">
        <v>18</v>
      </c>
    </row>
    <row r="36" spans="1:12" x14ac:dyDescent="0.25">
      <c r="A36" s="1" t="s">
        <v>5</v>
      </c>
      <c r="B36" s="1">
        <f t="shared" ref="B36:B44" si="4">C36+G36+K36</f>
        <v>1087</v>
      </c>
      <c r="C36" s="1">
        <f>29+1</f>
        <v>30</v>
      </c>
      <c r="D36" s="1">
        <v>15800</v>
      </c>
      <c r="G36" s="2">
        <f>347+181+134+7</f>
        <v>669</v>
      </c>
      <c r="H36" s="1">
        <v>9390</v>
      </c>
      <c r="K36" s="2">
        <f>316+69+3</f>
        <v>388</v>
      </c>
      <c r="L36" s="1">
        <v>9198</v>
      </c>
    </row>
    <row r="37" spans="1:12" x14ac:dyDescent="0.25">
      <c r="A37" s="1" t="s">
        <v>6</v>
      </c>
      <c r="B37" s="1">
        <f t="shared" si="4"/>
        <v>1110</v>
      </c>
      <c r="C37" s="1">
        <f>36+1</f>
        <v>37</v>
      </c>
      <c r="D37" s="1">
        <v>17260</v>
      </c>
      <c r="G37" s="1">
        <f>337+215+128+1+4</f>
        <v>685</v>
      </c>
      <c r="H37" s="1">
        <v>13550</v>
      </c>
      <c r="K37" s="1">
        <f>305+71+12</f>
        <v>388</v>
      </c>
      <c r="L37" s="1">
        <v>13000</v>
      </c>
    </row>
    <row r="38" spans="1:12" x14ac:dyDescent="0.25">
      <c r="A38" s="1" t="s">
        <v>7</v>
      </c>
      <c r="B38" s="1">
        <f t="shared" si="4"/>
        <v>1704</v>
      </c>
      <c r="C38" s="1">
        <f>50+1</f>
        <v>51</v>
      </c>
      <c r="D38" s="1">
        <v>16500</v>
      </c>
      <c r="G38" s="1">
        <f>502+341+236+4+12</f>
        <v>1095</v>
      </c>
      <c r="H38" s="1">
        <v>12300</v>
      </c>
      <c r="K38" s="1">
        <f>436+116+6</f>
        <v>558</v>
      </c>
      <c r="L38" s="1">
        <v>12345</v>
      </c>
    </row>
    <row r="39" spans="1:12" x14ac:dyDescent="0.25">
      <c r="A39" s="1" t="s">
        <v>8</v>
      </c>
      <c r="B39" s="1">
        <f t="shared" si="4"/>
        <v>1796</v>
      </c>
      <c r="C39" s="1">
        <f>51+1</f>
        <v>52</v>
      </c>
      <c r="D39" s="1">
        <v>15000</v>
      </c>
      <c r="G39" s="1">
        <f>539+341+251+5+17</f>
        <v>1153</v>
      </c>
      <c r="H39" s="1">
        <v>9500</v>
      </c>
      <c r="K39" s="1">
        <f>454+129+8</f>
        <v>591</v>
      </c>
      <c r="L39" s="1">
        <v>9400</v>
      </c>
    </row>
    <row r="40" spans="1:12" x14ac:dyDescent="0.25">
      <c r="A40" s="1" t="s">
        <v>9</v>
      </c>
      <c r="B40" s="1">
        <f t="shared" si="4"/>
        <v>1880</v>
      </c>
      <c r="C40" s="1">
        <f>39+1</f>
        <v>40</v>
      </c>
      <c r="D40" s="1">
        <v>15000</v>
      </c>
      <c r="G40" s="1">
        <f>562+355+264+4+18</f>
        <v>1203</v>
      </c>
      <c r="H40" s="1">
        <v>10088</v>
      </c>
      <c r="K40" s="1">
        <f>512+125</f>
        <v>637</v>
      </c>
      <c r="L40" s="1">
        <v>10188</v>
      </c>
    </row>
    <row r="41" spans="1:12" x14ac:dyDescent="0.25">
      <c r="A41" s="1" t="s">
        <v>10</v>
      </c>
      <c r="B41" s="1">
        <f t="shared" si="4"/>
        <v>1925</v>
      </c>
      <c r="C41" s="1">
        <f>46+1</f>
        <v>47</v>
      </c>
      <c r="D41" s="1">
        <v>10999</v>
      </c>
      <c r="G41" s="1">
        <f>574+364+273+3+15</f>
        <v>1229</v>
      </c>
      <c r="H41" s="1">
        <v>7400</v>
      </c>
      <c r="K41" s="1">
        <f>528+115+6</f>
        <v>649</v>
      </c>
      <c r="L41" s="1">
        <v>7500</v>
      </c>
    </row>
    <row r="42" spans="1:12" x14ac:dyDescent="0.25">
      <c r="A42" s="1" t="s">
        <v>11</v>
      </c>
      <c r="B42" s="1">
        <f t="shared" si="4"/>
        <v>1777</v>
      </c>
      <c r="C42" s="1">
        <f>56+2</f>
        <v>58</v>
      </c>
      <c r="D42" s="1">
        <v>11100</v>
      </c>
      <c r="G42" s="1">
        <f>548+326+228+3+14</f>
        <v>1119</v>
      </c>
      <c r="H42" s="1">
        <v>7920</v>
      </c>
      <c r="K42" s="1">
        <f>494+106</f>
        <v>600</v>
      </c>
      <c r="L42" s="1">
        <v>7779</v>
      </c>
    </row>
    <row r="43" spans="1:12" x14ac:dyDescent="0.25">
      <c r="A43" s="1" t="s">
        <v>12</v>
      </c>
      <c r="B43" s="1">
        <f t="shared" si="4"/>
        <v>1870</v>
      </c>
      <c r="C43" s="1">
        <f>60+2</f>
        <v>62</v>
      </c>
      <c r="D43" s="1">
        <v>10866</v>
      </c>
      <c r="G43" s="1">
        <f>581+344+226+3+14</f>
        <v>1168</v>
      </c>
      <c r="H43" s="1">
        <v>7600</v>
      </c>
      <c r="K43" s="1">
        <f>518+122</f>
        <v>640</v>
      </c>
      <c r="L43" s="1">
        <v>7700</v>
      </c>
    </row>
    <row r="44" spans="1:12" x14ac:dyDescent="0.25">
      <c r="A44" s="1" t="s">
        <v>13</v>
      </c>
      <c r="B44" s="1">
        <f t="shared" si="4"/>
        <v>1768</v>
      </c>
      <c r="C44" s="1">
        <f>61+1</f>
        <v>62</v>
      </c>
      <c r="D44" s="1">
        <v>10299</v>
      </c>
      <c r="G44" s="1">
        <f>556+310+178+3+12</f>
        <v>1059</v>
      </c>
      <c r="H44" s="1">
        <v>7620</v>
      </c>
      <c r="K44" s="1">
        <f>521+120+6</f>
        <v>647</v>
      </c>
      <c r="L44" s="1">
        <v>7675</v>
      </c>
    </row>
    <row r="45" spans="1:12" x14ac:dyDescent="0.25">
      <c r="A45" s="1" t="s">
        <v>14</v>
      </c>
      <c r="B45" s="1">
        <f t="shared" ref="B45:B50" si="5">C45+G45+K45</f>
        <v>1760</v>
      </c>
      <c r="C45" s="1">
        <f>50+1</f>
        <v>51</v>
      </c>
      <c r="D45" s="1">
        <v>10200</v>
      </c>
      <c r="G45" s="1">
        <f>594+296+182+2+7</f>
        <v>1081</v>
      </c>
      <c r="H45" s="1">
        <v>7347</v>
      </c>
      <c r="K45" s="1">
        <f>533+92+3</f>
        <v>628</v>
      </c>
      <c r="L45" s="1">
        <v>7700</v>
      </c>
    </row>
    <row r="46" spans="1:12" x14ac:dyDescent="0.25">
      <c r="A46" s="1" t="s">
        <v>69</v>
      </c>
      <c r="B46" s="1">
        <f t="shared" si="5"/>
        <v>1829</v>
      </c>
      <c r="C46" s="1">
        <f>48+1</f>
        <v>49</v>
      </c>
      <c r="D46" s="1">
        <v>9700</v>
      </c>
      <c r="G46" s="1">
        <f>588+330+201+1+13</f>
        <v>1133</v>
      </c>
      <c r="H46" s="1">
        <v>7200</v>
      </c>
      <c r="K46" s="1">
        <f>546+97+4</f>
        <v>647</v>
      </c>
      <c r="L46" s="1">
        <v>7450</v>
      </c>
    </row>
    <row r="47" spans="1:12" x14ac:dyDescent="0.25">
      <c r="A47" s="1" t="s">
        <v>76</v>
      </c>
      <c r="B47" s="1">
        <f t="shared" si="5"/>
        <v>1912</v>
      </c>
      <c r="C47" s="1">
        <f>53+1</f>
        <v>54</v>
      </c>
      <c r="D47" s="1">
        <v>10700</v>
      </c>
      <c r="G47" s="1">
        <f>610+345+211+2+9</f>
        <v>1177</v>
      </c>
      <c r="H47" s="1">
        <v>6918</v>
      </c>
      <c r="K47" s="1">
        <f>551+125+5</f>
        <v>681</v>
      </c>
      <c r="L47" s="1">
        <v>6344</v>
      </c>
    </row>
    <row r="48" spans="1:12" x14ac:dyDescent="0.25">
      <c r="A48" s="1" t="s">
        <v>103</v>
      </c>
      <c r="B48" s="1">
        <f t="shared" si="5"/>
        <v>1880</v>
      </c>
      <c r="C48" s="1">
        <f>48+1</f>
        <v>49</v>
      </c>
      <c r="D48" s="1">
        <v>10900</v>
      </c>
      <c r="G48" s="1">
        <f>589+338+217+2+13</f>
        <v>1159</v>
      </c>
      <c r="H48" s="1">
        <v>6740</v>
      </c>
      <c r="K48" s="1">
        <f>545+122+5</f>
        <v>672</v>
      </c>
      <c r="L48" s="1">
        <v>6080</v>
      </c>
    </row>
    <row r="49" spans="1:12" x14ac:dyDescent="0.25">
      <c r="A49" s="1" t="s">
        <v>118</v>
      </c>
      <c r="B49" s="1">
        <f t="shared" si="5"/>
        <v>1839</v>
      </c>
      <c r="C49" s="1">
        <f>51+2</f>
        <v>53</v>
      </c>
      <c r="D49" s="1">
        <v>9850</v>
      </c>
      <c r="G49" s="1">
        <f>578+309+214+2+11</f>
        <v>1114</v>
      </c>
      <c r="H49" s="1">
        <v>6366</v>
      </c>
      <c r="K49" s="1">
        <f>545+123+4</f>
        <v>672</v>
      </c>
      <c r="L49" s="1">
        <v>5550</v>
      </c>
    </row>
    <row r="50" spans="1:12" x14ac:dyDescent="0.25">
      <c r="A50" s="1" t="s">
        <v>122</v>
      </c>
      <c r="B50" s="1">
        <f t="shared" si="5"/>
        <v>1574</v>
      </c>
      <c r="C50" s="1">
        <f>48+1</f>
        <v>49</v>
      </c>
      <c r="D50" s="1">
        <v>10330</v>
      </c>
      <c r="G50" s="1">
        <f>494+262+181+2+7</f>
        <v>946</v>
      </c>
      <c r="H50" s="1">
        <v>6850</v>
      </c>
      <c r="K50" s="1">
        <f>476+98+5</f>
        <v>579</v>
      </c>
      <c r="L50" s="1">
        <v>5950</v>
      </c>
    </row>
    <row r="51" spans="1:12" x14ac:dyDescent="0.25">
      <c r="A51" s="1" t="s">
        <v>128</v>
      </c>
      <c r="B51" s="1">
        <f t="shared" ref="B51:B56" si="6">C51+G51+K51</f>
        <v>1667</v>
      </c>
      <c r="C51" s="1">
        <f>52+1</f>
        <v>53</v>
      </c>
      <c r="D51" s="1">
        <v>11890</v>
      </c>
      <c r="G51" s="1">
        <f>531+267+177+3+13</f>
        <v>991</v>
      </c>
      <c r="H51" s="1">
        <v>6940</v>
      </c>
      <c r="K51" s="1">
        <f>499+114+10</f>
        <v>623</v>
      </c>
      <c r="L51" s="1">
        <v>5945</v>
      </c>
    </row>
    <row r="52" spans="1:12" x14ac:dyDescent="0.25">
      <c r="A52" s="1" t="s">
        <v>130</v>
      </c>
      <c r="B52" s="1">
        <f t="shared" si="6"/>
        <v>1697</v>
      </c>
      <c r="C52" s="1">
        <f>51+1</f>
        <v>52</v>
      </c>
      <c r="D52" s="1">
        <v>11475</v>
      </c>
      <c r="G52" s="1">
        <f>549+284+183+3+12</f>
        <v>1031</v>
      </c>
      <c r="H52" s="1">
        <v>7160</v>
      </c>
      <c r="K52" s="1">
        <f>502+103+9</f>
        <v>614</v>
      </c>
      <c r="L52" s="1">
        <v>6599</v>
      </c>
    </row>
    <row r="53" spans="1:12" x14ac:dyDescent="0.25">
      <c r="A53" s="1" t="s">
        <v>131</v>
      </c>
      <c r="B53" s="1">
        <f t="shared" si="6"/>
        <v>1666</v>
      </c>
      <c r="C53" s="1">
        <f>54+1</f>
        <v>55</v>
      </c>
      <c r="D53" s="1">
        <v>11015</v>
      </c>
      <c r="G53" s="1">
        <f>510+281+169+4+11</f>
        <v>975</v>
      </c>
      <c r="H53" s="1">
        <v>7100</v>
      </c>
      <c r="K53" s="1">
        <f>513+116+7</f>
        <v>636</v>
      </c>
      <c r="L53" s="1">
        <v>6160</v>
      </c>
    </row>
    <row r="54" spans="1:12" x14ac:dyDescent="0.25">
      <c r="A54" s="1" t="s">
        <v>132</v>
      </c>
      <c r="B54" s="1">
        <f t="shared" si="6"/>
        <v>1710</v>
      </c>
      <c r="C54" s="1">
        <f>51+1</f>
        <v>52</v>
      </c>
      <c r="D54" s="1">
        <v>10499</v>
      </c>
      <c r="G54" s="1">
        <f>520+299+186+5+11</f>
        <v>1021</v>
      </c>
      <c r="H54" s="1">
        <v>7040</v>
      </c>
      <c r="K54" s="1">
        <f>513+115+9</f>
        <v>637</v>
      </c>
      <c r="L54" s="1">
        <v>6079</v>
      </c>
    </row>
    <row r="55" spans="1:12" x14ac:dyDescent="0.25">
      <c r="A55" s="1" t="s">
        <v>133</v>
      </c>
      <c r="B55" s="1">
        <f t="shared" si="6"/>
        <v>1650</v>
      </c>
      <c r="C55" s="1">
        <f>59+2</f>
        <v>61</v>
      </c>
      <c r="D55" s="1">
        <v>10800</v>
      </c>
      <c r="G55" s="1">
        <f>534+279+148+5+11</f>
        <v>977</v>
      </c>
      <c r="H55" s="1">
        <v>6960</v>
      </c>
      <c r="K55" s="1">
        <f>492+115+5</f>
        <v>612</v>
      </c>
      <c r="L55" s="1">
        <v>6160</v>
      </c>
    </row>
    <row r="56" spans="1:12" x14ac:dyDescent="0.25">
      <c r="A56" s="1" t="s">
        <v>134</v>
      </c>
      <c r="B56" s="1">
        <f t="shared" si="6"/>
        <v>1625</v>
      </c>
      <c r="C56" s="1">
        <f>55+2</f>
        <v>57</v>
      </c>
      <c r="D56" s="1">
        <v>10997</v>
      </c>
      <c r="G56" s="1">
        <f>501+279+157+5+12</f>
        <v>954</v>
      </c>
      <c r="H56" s="1">
        <v>6900</v>
      </c>
      <c r="K56" s="1">
        <f>508+101+5</f>
        <v>614</v>
      </c>
      <c r="L56" s="1">
        <v>6038</v>
      </c>
    </row>
    <row r="57" spans="1:12" x14ac:dyDescent="0.25">
      <c r="A57" s="1" t="s">
        <v>135</v>
      </c>
      <c r="B57" s="1">
        <f t="shared" ref="B57:B64" si="7">C57+G57+K57</f>
        <v>1533</v>
      </c>
      <c r="C57" s="1">
        <f>54+1</f>
        <v>55</v>
      </c>
      <c r="D57" s="1">
        <v>10500</v>
      </c>
      <c r="G57" s="1">
        <f>499+249+131+5+10</f>
        <v>894</v>
      </c>
      <c r="H57" s="1">
        <v>6950</v>
      </c>
      <c r="K57" s="1">
        <f>476+104+4</f>
        <v>584</v>
      </c>
      <c r="L57" s="1">
        <v>6155</v>
      </c>
    </row>
    <row r="58" spans="1:12" x14ac:dyDescent="0.25">
      <c r="A58" s="1" t="s">
        <v>138</v>
      </c>
      <c r="B58" s="1">
        <f t="shared" si="7"/>
        <v>1151</v>
      </c>
      <c r="C58" s="1">
        <f>45+2</f>
        <v>47</v>
      </c>
      <c r="D58" s="1">
        <v>10700</v>
      </c>
      <c r="G58" s="1">
        <f>372+177+102+7+7</f>
        <v>665</v>
      </c>
      <c r="H58" s="1">
        <v>7500</v>
      </c>
      <c r="K58" s="1">
        <f>355+77+7</f>
        <v>439</v>
      </c>
      <c r="L58" s="1">
        <v>6900</v>
      </c>
    </row>
    <row r="59" spans="1:12" x14ac:dyDescent="0.25">
      <c r="A59" s="1" t="s">
        <v>140</v>
      </c>
      <c r="B59" s="1">
        <f t="shared" si="7"/>
        <v>1258</v>
      </c>
      <c r="C59" s="1">
        <f>39+1</f>
        <v>40</v>
      </c>
      <c r="D59" s="1">
        <v>10870</v>
      </c>
      <c r="G59" s="1">
        <f>409+179+96+4+11</f>
        <v>699</v>
      </c>
      <c r="H59" s="1">
        <v>8050</v>
      </c>
      <c r="K59" s="1">
        <f>415+99+5</f>
        <v>519</v>
      </c>
      <c r="L59" s="1">
        <v>6948</v>
      </c>
    </row>
    <row r="60" spans="1:12" x14ac:dyDescent="0.25">
      <c r="A60" s="1" t="s">
        <v>141</v>
      </c>
      <c r="B60" s="1">
        <f t="shared" si="7"/>
        <v>1173</v>
      </c>
      <c r="C60" s="1">
        <f>41+1</f>
        <v>42</v>
      </c>
      <c r="D60" s="1">
        <v>11675</v>
      </c>
      <c r="G60" s="1">
        <f>366+155+84+5+10</f>
        <v>620</v>
      </c>
      <c r="H60" s="1">
        <v>8200</v>
      </c>
      <c r="K60" s="1">
        <f>414+91+6</f>
        <v>511</v>
      </c>
      <c r="L60" s="1">
        <v>7188</v>
      </c>
    </row>
    <row r="61" spans="1:12" x14ac:dyDescent="0.25">
      <c r="A61" s="1" t="s">
        <v>142</v>
      </c>
      <c r="B61" s="1">
        <f t="shared" si="7"/>
        <v>1382</v>
      </c>
      <c r="C61" s="1">
        <f>48</f>
        <v>48</v>
      </c>
      <c r="D61" s="1">
        <v>10999</v>
      </c>
      <c r="G61" s="1">
        <f>438+186+128+5+8</f>
        <v>765</v>
      </c>
      <c r="H61" s="1">
        <v>8110</v>
      </c>
      <c r="K61" s="1">
        <f>455+108+6</f>
        <v>569</v>
      </c>
      <c r="L61" s="1">
        <v>6774</v>
      </c>
    </row>
    <row r="62" spans="1:12" x14ac:dyDescent="0.25">
      <c r="A62" s="1" t="s">
        <v>144</v>
      </c>
      <c r="B62" s="1">
        <f t="shared" si="7"/>
        <v>1407</v>
      </c>
      <c r="C62" s="1">
        <f>49</f>
        <v>49</v>
      </c>
      <c r="D62" s="1">
        <v>11000</v>
      </c>
      <c r="G62" s="1">
        <f>448+205+119+5+5</f>
        <v>782</v>
      </c>
      <c r="H62" s="1">
        <v>7900</v>
      </c>
      <c r="K62" s="1">
        <f>447+120+9</f>
        <v>576</v>
      </c>
      <c r="L62" s="1">
        <v>6780</v>
      </c>
    </row>
    <row r="63" spans="1:12" x14ac:dyDescent="0.25">
      <c r="A63" s="1" t="s">
        <v>148</v>
      </c>
      <c r="B63" s="1">
        <f t="shared" si="7"/>
        <v>1369</v>
      </c>
      <c r="C63" s="1">
        <f>51</f>
        <v>51</v>
      </c>
      <c r="D63" s="1">
        <v>10872</v>
      </c>
      <c r="G63" s="1">
        <f>429+189+132+8+11</f>
        <v>769</v>
      </c>
      <c r="H63" s="1">
        <v>7900</v>
      </c>
      <c r="K63" s="1">
        <f>440+102+7</f>
        <v>549</v>
      </c>
      <c r="L63" s="1">
        <v>6599</v>
      </c>
    </row>
    <row r="64" spans="1:12" x14ac:dyDescent="0.25">
      <c r="A64" s="1" t="s">
        <v>151</v>
      </c>
      <c r="B64" s="1">
        <f t="shared" si="7"/>
        <v>1286</v>
      </c>
      <c r="C64" s="1">
        <f>46+1</f>
        <v>47</v>
      </c>
      <c r="D64" s="1">
        <v>11400</v>
      </c>
      <c r="G64" s="1">
        <f>416+155+134+6+9</f>
        <v>720</v>
      </c>
      <c r="H64" s="1">
        <v>7999</v>
      </c>
      <c r="K64" s="1">
        <f>396+108+15</f>
        <v>519</v>
      </c>
      <c r="L64" s="1">
        <v>6650</v>
      </c>
    </row>
    <row r="70" spans="1:12" x14ac:dyDescent="0.25">
      <c r="B70" s="1" t="s">
        <v>19</v>
      </c>
      <c r="C70" s="1" t="s">
        <v>106</v>
      </c>
      <c r="D70" s="1" t="s">
        <v>20</v>
      </c>
      <c r="G70" s="1" t="s">
        <v>107</v>
      </c>
      <c r="H70" s="1" t="s">
        <v>108</v>
      </c>
      <c r="I70" s="2" t="s">
        <v>21</v>
      </c>
      <c r="K70" s="1" t="s">
        <v>22</v>
      </c>
      <c r="L70" s="1" t="s">
        <v>109</v>
      </c>
    </row>
    <row r="71" spans="1:12" x14ac:dyDescent="0.25">
      <c r="A71" s="1" t="s">
        <v>5</v>
      </c>
      <c r="B71" s="1">
        <f t="shared" ref="B71:B79" si="8">C71+D71+G71+H71+I71+K71+L71</f>
        <v>1153</v>
      </c>
      <c r="C71" s="1">
        <f>34</f>
        <v>34</v>
      </c>
      <c r="D71" s="1">
        <f>53+11+4+2+3</f>
        <v>73</v>
      </c>
      <c r="G71" s="1">
        <f>36+5+5</f>
        <v>46</v>
      </c>
      <c r="H71" s="1">
        <f>168+9+3+3+2</f>
        <v>185</v>
      </c>
      <c r="I71" s="1">
        <f>91+2+2+77+5+3+1+3</f>
        <v>184</v>
      </c>
      <c r="K71" s="1">
        <f>21+2+2+1</f>
        <v>26</v>
      </c>
      <c r="L71" s="2">
        <f>578+27</f>
        <v>605</v>
      </c>
    </row>
    <row r="72" spans="1:12" x14ac:dyDescent="0.25">
      <c r="A72" s="1" t="s">
        <v>6</v>
      </c>
      <c r="B72" s="1">
        <f t="shared" si="8"/>
        <v>1021</v>
      </c>
      <c r="C72" s="1">
        <v>28</v>
      </c>
      <c r="D72" s="1">
        <f>43+5+8+1+4</f>
        <v>61</v>
      </c>
      <c r="G72" s="1">
        <v>37</v>
      </c>
      <c r="H72" s="1">
        <f>141+11+1</f>
        <v>153</v>
      </c>
      <c r="I72" s="1">
        <f>96+4+3+79+10+2+1+2</f>
        <v>197</v>
      </c>
      <c r="K72" s="1">
        <f>12+1+1</f>
        <v>14</v>
      </c>
      <c r="L72" s="1">
        <f>506+25</f>
        <v>531</v>
      </c>
    </row>
    <row r="73" spans="1:12" x14ac:dyDescent="0.25">
      <c r="A73" s="1" t="s">
        <v>7</v>
      </c>
      <c r="B73" s="1">
        <f t="shared" si="8"/>
        <v>1611</v>
      </c>
      <c r="C73" s="1">
        <f>40</f>
        <v>40</v>
      </c>
      <c r="D73" s="1">
        <f>83+12+9+1+2</f>
        <v>107</v>
      </c>
      <c r="G73" s="1">
        <f>55+7+5+1+1</f>
        <v>69</v>
      </c>
      <c r="H73" s="1">
        <f>206+20+1+1+1</f>
        <v>229</v>
      </c>
      <c r="I73" s="1">
        <f>140+10+5+153+19+8+1+4</f>
        <v>340</v>
      </c>
      <c r="K73" s="1">
        <f>21+4+2+1</f>
        <v>28</v>
      </c>
      <c r="L73" s="1">
        <f>764+34</f>
        <v>798</v>
      </c>
    </row>
    <row r="74" spans="1:12" x14ac:dyDescent="0.25">
      <c r="A74" s="1" t="s">
        <v>8</v>
      </c>
      <c r="B74" s="1">
        <f t="shared" si="8"/>
        <v>1710</v>
      </c>
      <c r="C74" s="1">
        <f>43</f>
        <v>43</v>
      </c>
      <c r="D74" s="1">
        <f>90+15+10+1+2</f>
        <v>118</v>
      </c>
      <c r="G74" s="1">
        <f>69+11+4+1</f>
        <v>85</v>
      </c>
      <c r="H74" s="1">
        <f>247+21+1+2</f>
        <v>271</v>
      </c>
      <c r="I74" s="1">
        <f>136+10+6+160+20+3+1+3</f>
        <v>339</v>
      </c>
      <c r="K74" s="1">
        <f>25+4+1</f>
        <v>30</v>
      </c>
      <c r="L74" s="1">
        <f>783+41</f>
        <v>824</v>
      </c>
    </row>
    <row r="75" spans="1:12" x14ac:dyDescent="0.25">
      <c r="A75" s="1" t="s">
        <v>9</v>
      </c>
      <c r="B75" s="1">
        <f t="shared" si="8"/>
        <v>1797</v>
      </c>
      <c r="C75" s="1">
        <v>43</v>
      </c>
      <c r="D75" s="1">
        <f>100+15+10+5</f>
        <v>130</v>
      </c>
      <c r="G75" s="1">
        <f>75+9+7+1</f>
        <v>92</v>
      </c>
      <c r="H75" s="1">
        <f>272+22+3+2</f>
        <v>299</v>
      </c>
      <c r="I75" s="1">
        <f>147+8+5+163+16+4+1+4</f>
        <v>348</v>
      </c>
      <c r="K75" s="1">
        <f>25+3+1</f>
        <v>29</v>
      </c>
      <c r="L75" s="1">
        <f>811+45</f>
        <v>856</v>
      </c>
    </row>
    <row r="76" spans="1:12" x14ac:dyDescent="0.25">
      <c r="A76" s="1" t="s">
        <v>10</v>
      </c>
      <c r="B76" s="1">
        <f t="shared" si="8"/>
        <v>1950</v>
      </c>
      <c r="C76" s="1">
        <v>55</v>
      </c>
      <c r="D76" s="1">
        <f>96+17+10+1+2</f>
        <v>126</v>
      </c>
      <c r="G76" s="1">
        <f>80+12+9+1+1</f>
        <v>103</v>
      </c>
      <c r="H76" s="1">
        <f>275+23+7+1+1</f>
        <v>307</v>
      </c>
      <c r="I76" s="1">
        <f>164+9+10+1+179+22+7+1+5</f>
        <v>398</v>
      </c>
      <c r="K76" s="1">
        <f>30+6+1+1</f>
        <v>38</v>
      </c>
      <c r="L76" s="1">
        <f>880+43</f>
        <v>923</v>
      </c>
    </row>
    <row r="77" spans="1:12" x14ac:dyDescent="0.25">
      <c r="A77" s="1" t="s">
        <v>11</v>
      </c>
      <c r="B77" s="1">
        <f t="shared" si="8"/>
        <v>1799</v>
      </c>
      <c r="C77" s="1">
        <v>51</v>
      </c>
      <c r="D77" s="1">
        <f>95+11+8+1+2</f>
        <v>117</v>
      </c>
      <c r="G77" s="1">
        <f>69+11+9+1</f>
        <v>90</v>
      </c>
      <c r="H77" s="1">
        <f>253+22+9+1</f>
        <v>285</v>
      </c>
      <c r="I77" s="1">
        <f>141+13+9+1+152+15+1+5+9</f>
        <v>346</v>
      </c>
      <c r="K77" s="1">
        <f>26+3+1+1</f>
        <v>31</v>
      </c>
      <c r="L77" s="1">
        <f>838+41</f>
        <v>879</v>
      </c>
    </row>
    <row r="78" spans="1:12" x14ac:dyDescent="0.25">
      <c r="A78" s="1" t="s">
        <v>12</v>
      </c>
      <c r="B78" s="1">
        <f t="shared" si="8"/>
        <v>1909</v>
      </c>
      <c r="C78" s="1">
        <v>52</v>
      </c>
      <c r="D78" s="1">
        <f>99+11+9+1+2</f>
        <v>122</v>
      </c>
      <c r="G78" s="1">
        <f>77+14+7+1</f>
        <v>99</v>
      </c>
      <c r="H78" s="1">
        <f>271+18+7+1+1</f>
        <v>298</v>
      </c>
      <c r="I78" s="1">
        <f>161+11+8+1+175+17+5+1+5</f>
        <v>384</v>
      </c>
      <c r="K78" s="1">
        <f>27+4+1</f>
        <v>32</v>
      </c>
      <c r="L78" s="1">
        <f>876+46</f>
        <v>922</v>
      </c>
    </row>
    <row r="79" spans="1:12" x14ac:dyDescent="0.25">
      <c r="A79" s="1" t="s">
        <v>13</v>
      </c>
      <c r="B79" s="1">
        <f t="shared" si="8"/>
        <v>1815</v>
      </c>
      <c r="C79" s="1">
        <v>46</v>
      </c>
      <c r="D79" s="1">
        <f>95+12+9+1+6</f>
        <v>123</v>
      </c>
      <c r="G79" s="1">
        <f>71+11+7+1+1</f>
        <v>91</v>
      </c>
      <c r="H79" s="1">
        <f>266+20+7+1+2</f>
        <v>296</v>
      </c>
      <c r="I79" s="1">
        <f>148+13+6+1+157+10+3+2+2</f>
        <v>342</v>
      </c>
      <c r="K79" s="1">
        <f>31+2+1</f>
        <v>34</v>
      </c>
      <c r="L79" s="1">
        <f>851+32</f>
        <v>883</v>
      </c>
    </row>
    <row r="80" spans="1:12" x14ac:dyDescent="0.25">
      <c r="A80" s="1" t="s">
        <v>14</v>
      </c>
      <c r="B80" s="1">
        <f t="shared" ref="B80:B85" si="9">C80+D80+G80+H80+I80+K80+L80</f>
        <v>1923</v>
      </c>
      <c r="C80" s="1">
        <v>57</v>
      </c>
      <c r="D80" s="1">
        <f>94+11+8+1+1</f>
        <v>115</v>
      </c>
      <c r="G80" s="1">
        <f>77+13+7+1</f>
        <v>98</v>
      </c>
      <c r="H80" s="1">
        <f>263+23+11+1+2</f>
        <v>300</v>
      </c>
      <c r="I80" s="1">
        <f>164+14+6+1+193+14+4+2+2</f>
        <v>400</v>
      </c>
      <c r="K80" s="1">
        <f>26+2+1+1</f>
        <v>30</v>
      </c>
      <c r="L80" s="1">
        <f>886+37</f>
        <v>923</v>
      </c>
    </row>
    <row r="81" spans="1:12" x14ac:dyDescent="0.25">
      <c r="A81" s="1" t="s">
        <v>69</v>
      </c>
      <c r="B81" s="1">
        <f t="shared" si="9"/>
        <v>1985</v>
      </c>
      <c r="C81" s="1">
        <f>57</f>
        <v>57</v>
      </c>
      <c r="D81" s="1">
        <f>102+11+6+1+2</f>
        <v>122</v>
      </c>
      <c r="G81" s="1">
        <f>86+10+8+1+1</f>
        <v>106</v>
      </c>
      <c r="H81" s="1">
        <f>272+22+9+1+2</f>
        <v>306</v>
      </c>
      <c r="I81" s="1">
        <f>171+13+6+1+169+14+3+1+1</f>
        <v>379</v>
      </c>
      <c r="K81" s="1">
        <f>29+5+3+1</f>
        <v>38</v>
      </c>
      <c r="L81" s="1">
        <f>935+42</f>
        <v>977</v>
      </c>
    </row>
    <row r="82" spans="1:12" x14ac:dyDescent="0.25">
      <c r="A82" s="1" t="s">
        <v>76</v>
      </c>
      <c r="B82" s="1">
        <f t="shared" si="9"/>
        <v>1809</v>
      </c>
      <c r="C82" s="1">
        <v>55</v>
      </c>
      <c r="D82" s="1">
        <f>105+13+8+1+2</f>
        <v>129</v>
      </c>
      <c r="G82" s="1">
        <f>82+8+6+1+1</f>
        <v>98</v>
      </c>
      <c r="H82" s="1">
        <f>308+25+7+1+1</f>
        <v>342</v>
      </c>
      <c r="I82" s="1">
        <f>186+13+6+2+173+16+4+3+1</f>
        <v>404</v>
      </c>
      <c r="K82" s="1">
        <f>28+5+1+1</f>
        <v>35</v>
      </c>
      <c r="L82" s="1">
        <f>715+31</f>
        <v>746</v>
      </c>
    </row>
    <row r="83" spans="1:12" x14ac:dyDescent="0.25">
      <c r="A83" s="1" t="s">
        <v>103</v>
      </c>
      <c r="B83" s="1">
        <f t="shared" si="9"/>
        <v>1798</v>
      </c>
      <c r="C83" s="1">
        <f>52</f>
        <v>52</v>
      </c>
      <c r="D83" s="1">
        <f>108+12+7+1+1</f>
        <v>129</v>
      </c>
      <c r="G83" s="1">
        <f>86+11+5+1</f>
        <v>103</v>
      </c>
      <c r="H83" s="1">
        <f>300+26+7+2+2</f>
        <v>337</v>
      </c>
      <c r="I83" s="1">
        <f>183+12+7+2+178+16+4+3+1</f>
        <v>406</v>
      </c>
      <c r="K83" s="1">
        <f>34+5+1+1</f>
        <v>41</v>
      </c>
      <c r="L83" s="1">
        <f>694+36</f>
        <v>730</v>
      </c>
    </row>
    <row r="84" spans="1:12" x14ac:dyDescent="0.25">
      <c r="A84" s="1" t="s">
        <v>118</v>
      </c>
      <c r="B84" s="1">
        <f t="shared" si="9"/>
        <v>1707</v>
      </c>
      <c r="C84" s="1">
        <v>51</v>
      </c>
      <c r="D84" s="1">
        <f>101+12+13+2+2</f>
        <v>130</v>
      </c>
      <c r="G84" s="1">
        <f>86+7+6+4</f>
        <v>103</v>
      </c>
      <c r="H84" s="1">
        <f>292+19+7+1</f>
        <v>319</v>
      </c>
      <c r="I84" s="1">
        <f>164+10+10+1+146+11+5+1+2</f>
        <v>350</v>
      </c>
      <c r="K84" s="1">
        <f>38+5+2+1</f>
        <v>46</v>
      </c>
      <c r="L84" s="1">
        <f>671+37</f>
        <v>708</v>
      </c>
    </row>
    <row r="85" spans="1:12" x14ac:dyDescent="0.25">
      <c r="A85" s="1" t="s">
        <v>122</v>
      </c>
      <c r="B85" s="1">
        <f t="shared" si="9"/>
        <v>1430</v>
      </c>
      <c r="C85" s="1">
        <v>45</v>
      </c>
      <c r="D85" s="1">
        <f>91+12+11+2+2</f>
        <v>118</v>
      </c>
      <c r="G85" s="1">
        <f>72+6+5+3</f>
        <v>86</v>
      </c>
      <c r="H85" s="1">
        <f>233+18+4+1</f>
        <v>256</v>
      </c>
      <c r="I85" s="1">
        <f>134+11+7+1+108+7+2+2</f>
        <v>272</v>
      </c>
      <c r="K85" s="1">
        <f>31+3+2+1</f>
        <v>37</v>
      </c>
      <c r="L85" s="1">
        <f>593+23</f>
        <v>616</v>
      </c>
    </row>
    <row r="86" spans="1:12" x14ac:dyDescent="0.25">
      <c r="A86" s="1" t="s">
        <v>128</v>
      </c>
      <c r="B86" s="1">
        <f t="shared" ref="B86:B91" si="10">C86+D86+G86+H86+I86+K86+L86</f>
        <v>1531</v>
      </c>
      <c r="C86" s="1">
        <v>52</v>
      </c>
      <c r="D86" s="1">
        <f>104+13+8+2+2</f>
        <v>129</v>
      </c>
      <c r="G86" s="1">
        <f>78+7+3+2</f>
        <v>90</v>
      </c>
      <c r="H86" s="1">
        <f>256+19+5+1+1</f>
        <v>282</v>
      </c>
      <c r="I86" s="1">
        <f>144+11+5+1+137+8+3+2+2</f>
        <v>313</v>
      </c>
      <c r="K86" s="1">
        <f>31+3+2</f>
        <v>36</v>
      </c>
      <c r="L86" s="1">
        <f>603+26</f>
        <v>629</v>
      </c>
    </row>
    <row r="87" spans="1:12" x14ac:dyDescent="0.25">
      <c r="A87" s="1" t="s">
        <v>130</v>
      </c>
      <c r="B87" s="1">
        <f t="shared" si="10"/>
        <v>1648</v>
      </c>
      <c r="C87" s="1">
        <f>49</f>
        <v>49</v>
      </c>
      <c r="D87" s="1">
        <f>108+9+6+2+2</f>
        <v>127</v>
      </c>
      <c r="G87" s="1">
        <f>79+8+6+2</f>
        <v>95</v>
      </c>
      <c r="H87" s="1">
        <f>271+22+5+1+1</f>
        <v>300</v>
      </c>
      <c r="I87" s="1">
        <f>149+14+9+1+142+12+2+1+1</f>
        <v>331</v>
      </c>
      <c r="K87" s="1">
        <f>33+3+2+1</f>
        <v>39</v>
      </c>
      <c r="L87" s="1">
        <f>666+41</f>
        <v>707</v>
      </c>
    </row>
    <row r="88" spans="1:12" x14ac:dyDescent="0.25">
      <c r="A88" s="1" t="s">
        <v>131</v>
      </c>
      <c r="B88" s="1">
        <f t="shared" si="10"/>
        <v>1616</v>
      </c>
      <c r="C88" s="1">
        <v>64</v>
      </c>
      <c r="D88" s="1">
        <f>97+8+9+3+2</f>
        <v>119</v>
      </c>
      <c r="G88" s="1">
        <f>72+7+7+2</f>
        <v>88</v>
      </c>
      <c r="H88" s="1">
        <f>282+24+6+1</f>
        <v>313</v>
      </c>
      <c r="I88" s="1">
        <f>152+7+6+1+146+17+5+1+1</f>
        <v>336</v>
      </c>
      <c r="K88" s="1">
        <f>32+5+1</f>
        <v>38</v>
      </c>
      <c r="L88" s="1">
        <f>637+21</f>
        <v>658</v>
      </c>
    </row>
    <row r="89" spans="1:12" x14ac:dyDescent="0.25">
      <c r="A89" s="1" t="s">
        <v>132</v>
      </c>
      <c r="B89" s="1">
        <f t="shared" si="10"/>
        <v>1647</v>
      </c>
      <c r="C89" s="1">
        <v>65</v>
      </c>
      <c r="D89" s="1">
        <f>105+11+8+4+2</f>
        <v>130</v>
      </c>
      <c r="G89" s="1">
        <f>78+7+6+3</f>
        <v>94</v>
      </c>
      <c r="H89" s="1">
        <f>275+13+6+1</f>
        <v>295</v>
      </c>
      <c r="I89" s="1">
        <f>146+8+6+1+1+144+14+5+1+1</f>
        <v>327</v>
      </c>
      <c r="K89" s="1">
        <f>26+5+1</f>
        <v>32</v>
      </c>
      <c r="L89" s="1">
        <f>669+35</f>
        <v>704</v>
      </c>
    </row>
    <row r="90" spans="1:12" x14ac:dyDescent="0.25">
      <c r="A90" s="1" t="s">
        <v>133</v>
      </c>
      <c r="B90" s="1">
        <f t="shared" si="10"/>
        <v>1553</v>
      </c>
      <c r="C90" s="1">
        <f>58</f>
        <v>58</v>
      </c>
      <c r="D90" s="1">
        <f>89+11+8+4+2</f>
        <v>114</v>
      </c>
      <c r="G90" s="1">
        <f>83+9+4+3</f>
        <v>99</v>
      </c>
      <c r="H90" s="1">
        <f>271+12+4+2</f>
        <v>289</v>
      </c>
      <c r="I90" s="1">
        <f>134+5+7+1+1+136+15+4+1+2</f>
        <v>306</v>
      </c>
      <c r="K90" s="1">
        <f>26+5+1+1</f>
        <v>33</v>
      </c>
      <c r="L90" s="1">
        <f>635+19</f>
        <v>654</v>
      </c>
    </row>
    <row r="91" spans="1:12" x14ac:dyDescent="0.25">
      <c r="A91" s="1" t="s">
        <v>134</v>
      </c>
      <c r="B91" s="1">
        <f t="shared" si="10"/>
        <v>1605</v>
      </c>
      <c r="C91" s="1">
        <f>49</f>
        <v>49</v>
      </c>
      <c r="D91" s="1">
        <f>91+12+10+4+4</f>
        <v>121</v>
      </c>
      <c r="G91" s="1">
        <f>82+8+8+3</f>
        <v>101</v>
      </c>
      <c r="H91" s="1">
        <f>245+18+3+3+1</f>
        <v>270</v>
      </c>
      <c r="I91" s="1">
        <f>124+12+7+1+145+10+6+1+2</f>
        <v>308</v>
      </c>
      <c r="K91" s="1">
        <f>33+4+1+1</f>
        <v>39</v>
      </c>
      <c r="L91" s="1">
        <f>684+33</f>
        <v>717</v>
      </c>
    </row>
    <row r="92" spans="1:12" x14ac:dyDescent="0.25">
      <c r="A92" s="1" t="s">
        <v>135</v>
      </c>
      <c r="B92" s="1">
        <f t="shared" ref="B92:B99" si="11">C92+D92+G92+H92+I92+K92+L92</f>
        <v>1583</v>
      </c>
      <c r="C92" s="1">
        <f>59</f>
        <v>59</v>
      </c>
      <c r="D92" s="1">
        <f>96+12+11+4+3</f>
        <v>126</v>
      </c>
      <c r="G92" s="1">
        <f>70+6+9+3</f>
        <v>88</v>
      </c>
      <c r="H92" s="1">
        <f>232+19+2+3+1</f>
        <v>257</v>
      </c>
      <c r="I92" s="1">
        <f>123+12+6+1+1+131+12+2+1+2</f>
        <v>291</v>
      </c>
      <c r="K92" s="1">
        <f>33+4+1+1</f>
        <v>39</v>
      </c>
      <c r="L92" s="1">
        <f>694+29</f>
        <v>723</v>
      </c>
    </row>
    <row r="93" spans="1:12" x14ac:dyDescent="0.25">
      <c r="A93" s="1" t="s">
        <v>138</v>
      </c>
      <c r="B93" s="1">
        <f t="shared" si="11"/>
        <v>1279</v>
      </c>
      <c r="C93" s="1">
        <f>52</f>
        <v>52</v>
      </c>
      <c r="D93" s="1">
        <f>79+10+6+4+2</f>
        <v>101</v>
      </c>
      <c r="G93" s="1">
        <f>55+5+4+2</f>
        <v>66</v>
      </c>
      <c r="H93" s="1">
        <f>204+13+8+1+1</f>
        <v>227</v>
      </c>
      <c r="I93" s="1">
        <f>94+14+4+2+1+94+10+3+1+2</f>
        <v>225</v>
      </c>
      <c r="K93" s="1">
        <f>34+6+1+1</f>
        <v>42</v>
      </c>
      <c r="L93" s="1">
        <f>545+21</f>
        <v>566</v>
      </c>
    </row>
    <row r="94" spans="1:12" x14ac:dyDescent="0.25">
      <c r="A94" s="1" t="s">
        <v>140</v>
      </c>
      <c r="B94" s="1">
        <f t="shared" si="11"/>
        <v>1206</v>
      </c>
      <c r="C94" s="1">
        <f>49</f>
        <v>49</v>
      </c>
      <c r="D94" s="1">
        <f>83+8+6+2+3</f>
        <v>102</v>
      </c>
      <c r="G94" s="1">
        <f>54+7+3+1</f>
        <v>65</v>
      </c>
      <c r="H94" s="1">
        <f>220+14+5</f>
        <v>239</v>
      </c>
      <c r="I94" s="1">
        <f>95+7+2+2+2+90+11+3+2</f>
        <v>214</v>
      </c>
      <c r="K94" s="1">
        <f>38+2</f>
        <v>40</v>
      </c>
      <c r="L94" s="1">
        <f>470+27</f>
        <v>497</v>
      </c>
    </row>
    <row r="95" spans="1:12" x14ac:dyDescent="0.25">
      <c r="A95" s="1" t="s">
        <v>141</v>
      </c>
      <c r="B95" s="1">
        <f t="shared" si="11"/>
        <v>1154</v>
      </c>
      <c r="C95" s="1">
        <f>41+1</f>
        <v>42</v>
      </c>
      <c r="D95" s="1">
        <f>84+7+7+3+3</f>
        <v>104</v>
      </c>
      <c r="G95" s="1">
        <f>55+6+2+1</f>
        <v>64</v>
      </c>
      <c r="H95" s="1">
        <f>214+12+1</f>
        <v>227</v>
      </c>
      <c r="I95" s="1">
        <f>86+10+3+1+85+9+3+2</f>
        <v>199</v>
      </c>
      <c r="K95" s="1">
        <f>32+3</f>
        <v>35</v>
      </c>
      <c r="L95" s="1">
        <f>456+27</f>
        <v>483</v>
      </c>
    </row>
    <row r="96" spans="1:12" x14ac:dyDescent="0.25">
      <c r="A96" s="1" t="s">
        <v>142</v>
      </c>
      <c r="B96" s="1">
        <f t="shared" si="11"/>
        <v>1470</v>
      </c>
      <c r="C96" s="1">
        <v>46</v>
      </c>
      <c r="D96" s="1">
        <f>93+8+7+3+3</f>
        <v>114</v>
      </c>
      <c r="G96" s="1">
        <f>59+6+6+3</f>
        <v>74</v>
      </c>
      <c r="H96" s="1">
        <f>239+13+1+2+1</f>
        <v>256</v>
      </c>
      <c r="I96" s="1">
        <f>131+4+2+120+5+3+1+1</f>
        <v>267</v>
      </c>
      <c r="K96" s="1">
        <f>31+3</f>
        <v>34</v>
      </c>
      <c r="L96" s="1">
        <f>641+38</f>
        <v>679</v>
      </c>
    </row>
    <row r="97" spans="1:12" x14ac:dyDescent="0.25">
      <c r="A97" s="1" t="s">
        <v>144</v>
      </c>
      <c r="B97" s="1">
        <f t="shared" si="11"/>
        <v>1521</v>
      </c>
      <c r="C97" s="1">
        <v>53</v>
      </c>
      <c r="D97" s="1">
        <f>95+5+9+3+3</f>
        <v>115</v>
      </c>
      <c r="G97" s="1">
        <f>62+4+7+2</f>
        <v>75</v>
      </c>
      <c r="H97" s="1">
        <f>250+15+2+1</f>
        <v>268</v>
      </c>
      <c r="I97" s="1">
        <f>134+3+4+1+111+7+5+1+1</f>
        <v>267</v>
      </c>
      <c r="K97" s="1">
        <f>30+2+1</f>
        <v>33</v>
      </c>
      <c r="L97" s="1">
        <f>673+37</f>
        <v>710</v>
      </c>
    </row>
    <row r="98" spans="1:12" x14ac:dyDescent="0.25">
      <c r="A98" s="1" t="s">
        <v>148</v>
      </c>
      <c r="B98" s="1">
        <f t="shared" si="11"/>
        <v>1488</v>
      </c>
      <c r="C98" s="1">
        <f>59</f>
        <v>59</v>
      </c>
      <c r="D98" s="1">
        <f>101+11+10+5+3</f>
        <v>130</v>
      </c>
      <c r="G98" s="1">
        <f>57+6+2+2</f>
        <v>67</v>
      </c>
      <c r="H98" s="1">
        <f>235+11+3+1</f>
        <v>250</v>
      </c>
      <c r="I98" s="1">
        <f>117+6+6+106+9+6+2</f>
        <v>252</v>
      </c>
      <c r="K98" s="1">
        <f>22+1</f>
        <v>23</v>
      </c>
      <c r="L98" s="1">
        <f>674+33</f>
        <v>707</v>
      </c>
    </row>
    <row r="99" spans="1:12" x14ac:dyDescent="0.25">
      <c r="A99" s="1" t="s">
        <v>151</v>
      </c>
      <c r="B99" s="1">
        <f t="shared" si="11"/>
        <v>1546</v>
      </c>
      <c r="C99" s="1">
        <f>50</f>
        <v>50</v>
      </c>
      <c r="D99" s="1">
        <f>97+8+7+2+3</f>
        <v>117</v>
      </c>
      <c r="G99" s="1">
        <f>45+7+2+2</f>
        <v>56</v>
      </c>
      <c r="H99" s="1">
        <f>220+7+5</f>
        <v>232</v>
      </c>
      <c r="I99" s="1">
        <f>110+3+3+77+5+1+3</f>
        <v>202</v>
      </c>
      <c r="K99" s="1">
        <f>21+3</f>
        <v>24</v>
      </c>
      <c r="L99" s="1">
        <f>823+42</f>
        <v>865</v>
      </c>
    </row>
    <row r="106" spans="1:12" x14ac:dyDescent="0.25">
      <c r="B106" s="1" t="s">
        <v>23</v>
      </c>
      <c r="C106" s="1" t="s">
        <v>24</v>
      </c>
      <c r="D106" s="1" t="s">
        <v>2</v>
      </c>
      <c r="G106" s="1" t="s">
        <v>25</v>
      </c>
      <c r="H106" s="1" t="s">
        <v>2</v>
      </c>
      <c r="K106" s="1" t="s">
        <v>26</v>
      </c>
      <c r="L106" s="1" t="s">
        <v>2</v>
      </c>
    </row>
    <row r="107" spans="1:12" x14ac:dyDescent="0.25">
      <c r="A107" s="1" t="s">
        <v>5</v>
      </c>
      <c r="B107" s="1">
        <f t="shared" ref="B107:B115" si="12">C107+G107+K107</f>
        <v>1095</v>
      </c>
      <c r="C107" s="2">
        <f>205+80+128+6+12</f>
        <v>431</v>
      </c>
      <c r="D107" s="1">
        <v>67800</v>
      </c>
      <c r="G107" s="2">
        <f>114+83+70+40+22</f>
        <v>329</v>
      </c>
      <c r="H107" s="1">
        <v>63000</v>
      </c>
      <c r="K107" s="2">
        <f>133+82+101+9+10</f>
        <v>335</v>
      </c>
      <c r="L107" s="1">
        <v>39000</v>
      </c>
    </row>
    <row r="108" spans="1:12" x14ac:dyDescent="0.25">
      <c r="A108" s="1" t="s">
        <v>6</v>
      </c>
      <c r="B108" s="1">
        <f t="shared" si="12"/>
        <v>1255</v>
      </c>
      <c r="C108" s="1">
        <f>216+83+144+8+11</f>
        <v>462</v>
      </c>
      <c r="D108" s="1">
        <v>77000</v>
      </c>
      <c r="G108" s="1">
        <f>127+82+87+42+37</f>
        <v>375</v>
      </c>
      <c r="H108" s="1">
        <v>73000</v>
      </c>
      <c r="K108" s="1">
        <f>154+101+136+7+20</f>
        <v>418</v>
      </c>
      <c r="L108" s="1">
        <v>37000</v>
      </c>
    </row>
    <row r="109" spans="1:12" x14ac:dyDescent="0.25">
      <c r="A109" s="1" t="s">
        <v>7</v>
      </c>
      <c r="B109" s="1">
        <f t="shared" si="12"/>
        <v>1674</v>
      </c>
      <c r="C109" s="1">
        <f>300+103+184+12+10</f>
        <v>609</v>
      </c>
      <c r="D109" s="1">
        <v>74800</v>
      </c>
      <c r="G109" s="1">
        <f>192+103+133+68+39</f>
        <v>535</v>
      </c>
      <c r="H109" s="1">
        <v>68888</v>
      </c>
      <c r="K109" s="1">
        <f>204+128+167+11+20</f>
        <v>530</v>
      </c>
      <c r="L109" s="1">
        <v>36500</v>
      </c>
    </row>
    <row r="110" spans="1:12" x14ac:dyDescent="0.25">
      <c r="A110" s="1" t="s">
        <v>8</v>
      </c>
      <c r="B110" s="1">
        <f t="shared" si="12"/>
        <v>1701</v>
      </c>
      <c r="C110" s="1">
        <f>301+101+182+13+14</f>
        <v>611</v>
      </c>
      <c r="D110" s="1">
        <v>69990</v>
      </c>
      <c r="G110" s="1">
        <f>175+97+131+78+43</f>
        <v>524</v>
      </c>
      <c r="H110" s="1">
        <v>65000</v>
      </c>
      <c r="K110" s="1">
        <f>217+145+169+14+21</f>
        <v>566</v>
      </c>
      <c r="L110" s="1">
        <v>35099</v>
      </c>
    </row>
    <row r="111" spans="1:12" x14ac:dyDescent="0.25">
      <c r="A111" s="1" t="s">
        <v>9</v>
      </c>
      <c r="B111" s="1">
        <f t="shared" si="12"/>
        <v>1888</v>
      </c>
      <c r="C111" s="1">
        <f>339+117+196+12+15</f>
        <v>679</v>
      </c>
      <c r="D111" s="1">
        <v>62999</v>
      </c>
      <c r="G111" s="1">
        <f>201+121+143+79+46</f>
        <v>590</v>
      </c>
      <c r="H111" s="1">
        <v>58000</v>
      </c>
      <c r="K111" s="1">
        <f>235+159+192+13+20</f>
        <v>619</v>
      </c>
      <c r="L111" s="1">
        <v>29500</v>
      </c>
    </row>
    <row r="112" spans="1:12" x14ac:dyDescent="0.25">
      <c r="A112" s="1" t="s">
        <v>10</v>
      </c>
      <c r="B112" s="1">
        <f t="shared" si="12"/>
        <v>1968</v>
      </c>
      <c r="C112" s="1">
        <f>341+124+211+10+22</f>
        <v>708</v>
      </c>
      <c r="D112" s="1">
        <v>39979</v>
      </c>
      <c r="G112" s="1">
        <f>217+135+144+78+50</f>
        <v>624</v>
      </c>
      <c r="H112" s="1">
        <v>34499</v>
      </c>
      <c r="K112" s="1">
        <f>247+161+186+17+25</f>
        <v>636</v>
      </c>
      <c r="L112" s="1">
        <v>17777</v>
      </c>
    </row>
    <row r="113" spans="1:12" x14ac:dyDescent="0.25">
      <c r="A113" s="1" t="s">
        <v>11</v>
      </c>
      <c r="B113" s="1">
        <f t="shared" si="12"/>
        <v>1812</v>
      </c>
      <c r="C113" s="1">
        <f>333+120+186+12+20</f>
        <v>671</v>
      </c>
      <c r="D113" s="1">
        <v>50500</v>
      </c>
      <c r="G113" s="1">
        <f>213+118+132+73+38</f>
        <v>574</v>
      </c>
      <c r="H113" s="1">
        <v>43699</v>
      </c>
      <c r="K113" s="1">
        <f>219+142+174+12+20</f>
        <v>567</v>
      </c>
      <c r="L113" s="1">
        <v>24300</v>
      </c>
    </row>
    <row r="114" spans="1:12" x14ac:dyDescent="0.25">
      <c r="A114" s="1" t="s">
        <v>12</v>
      </c>
      <c r="B114" s="1">
        <f t="shared" si="12"/>
        <v>1930</v>
      </c>
      <c r="C114" s="1">
        <f>370+137+198+10+16</f>
        <v>731</v>
      </c>
      <c r="D114" s="1">
        <v>47500</v>
      </c>
      <c r="G114" s="1">
        <f>232+137+146+70+39</f>
        <v>624</v>
      </c>
      <c r="H114" s="1">
        <v>40000</v>
      </c>
      <c r="K114" s="1">
        <f>217+152+174+12+20</f>
        <v>575</v>
      </c>
      <c r="L114" s="1">
        <v>22688</v>
      </c>
    </row>
    <row r="115" spans="1:12" x14ac:dyDescent="0.25">
      <c r="A115" s="1" t="s">
        <v>13</v>
      </c>
      <c r="B115" s="1">
        <f t="shared" si="12"/>
        <v>1780</v>
      </c>
      <c r="C115" s="1">
        <f>339+114+176+10+12</f>
        <v>651</v>
      </c>
      <c r="D115" s="1">
        <v>49600</v>
      </c>
      <c r="G115" s="1">
        <f>208+135+122+66+41</f>
        <v>572</v>
      </c>
      <c r="H115" s="1">
        <v>44950</v>
      </c>
      <c r="K115" s="1">
        <f>224+155+140+16+22</f>
        <v>557</v>
      </c>
      <c r="L115" s="1">
        <v>21900</v>
      </c>
    </row>
    <row r="116" spans="1:12" x14ac:dyDescent="0.25">
      <c r="A116" s="1" t="s">
        <v>14</v>
      </c>
      <c r="B116" s="1">
        <f t="shared" ref="B116:B121" si="13">C116+G116+K116</f>
        <v>1853</v>
      </c>
      <c r="C116" s="1">
        <f>371+132+197+9+11</f>
        <v>720</v>
      </c>
      <c r="D116" s="1">
        <v>48500</v>
      </c>
      <c r="G116" s="1">
        <f>199+128+126+66+39</f>
        <v>558</v>
      </c>
      <c r="H116" s="1">
        <v>45500</v>
      </c>
      <c r="K116" s="1">
        <f>235+148+157+12+23</f>
        <v>575</v>
      </c>
      <c r="L116" s="1">
        <v>21450</v>
      </c>
    </row>
    <row r="117" spans="1:12" x14ac:dyDescent="0.25">
      <c r="A117" s="1" t="s">
        <v>69</v>
      </c>
      <c r="B117" s="1">
        <f t="shared" si="13"/>
        <v>1906</v>
      </c>
      <c r="C117" s="1">
        <f>369+128+198+7+13</f>
        <v>715</v>
      </c>
      <c r="D117" s="1">
        <v>48500</v>
      </c>
      <c r="G117" s="1">
        <f>221+130+145+69+41</f>
        <v>606</v>
      </c>
      <c r="H117" s="1">
        <v>41900</v>
      </c>
      <c r="K117" s="1">
        <f>239+160+155+9+22</f>
        <v>585</v>
      </c>
      <c r="L117" s="1">
        <v>21000</v>
      </c>
    </row>
    <row r="118" spans="1:12" x14ac:dyDescent="0.25">
      <c r="A118" s="1" t="s">
        <v>76</v>
      </c>
      <c r="B118" s="1">
        <f t="shared" si="13"/>
        <v>1838</v>
      </c>
      <c r="C118" s="1">
        <f>376+120+188+8+12</f>
        <v>704</v>
      </c>
      <c r="D118" s="1">
        <v>47400</v>
      </c>
      <c r="G118" s="1">
        <f>201+126+142+71+42</f>
        <v>582</v>
      </c>
      <c r="H118" s="1">
        <v>43500</v>
      </c>
      <c r="K118" s="1">
        <f>222+149+147+11+23</f>
        <v>552</v>
      </c>
      <c r="L118" s="1">
        <v>21000</v>
      </c>
    </row>
    <row r="119" spans="1:12" x14ac:dyDescent="0.25">
      <c r="A119" s="1" t="s">
        <v>103</v>
      </c>
      <c r="B119" s="1">
        <f t="shared" si="13"/>
        <v>1810</v>
      </c>
      <c r="C119" s="1">
        <f>379+112+175+9+13</f>
        <v>688</v>
      </c>
      <c r="D119" s="1">
        <v>47400</v>
      </c>
      <c r="G119" s="1">
        <f>207+126+145+64+44</f>
        <v>586</v>
      </c>
      <c r="H119" s="1">
        <v>42950</v>
      </c>
      <c r="K119" s="1">
        <f>222+149+134+12+19</f>
        <v>536</v>
      </c>
      <c r="L119" s="1">
        <v>20500</v>
      </c>
    </row>
    <row r="120" spans="1:12" x14ac:dyDescent="0.25">
      <c r="A120" s="1" t="s">
        <v>118</v>
      </c>
      <c r="B120" s="1">
        <f t="shared" si="13"/>
        <v>1700</v>
      </c>
      <c r="C120" s="1">
        <f>350+107+173+10+7</f>
        <v>647</v>
      </c>
      <c r="D120" s="1">
        <v>45000</v>
      </c>
      <c r="G120" s="1">
        <f>225+137+123+60+36</f>
        <v>581</v>
      </c>
      <c r="H120" s="1">
        <v>41200</v>
      </c>
      <c r="K120" s="1">
        <f>194+135+126+8+9</f>
        <v>472</v>
      </c>
      <c r="L120" s="1">
        <v>18780</v>
      </c>
    </row>
    <row r="121" spans="1:12" x14ac:dyDescent="0.25">
      <c r="A121" s="1" t="s">
        <v>122</v>
      </c>
      <c r="B121" s="1">
        <f t="shared" si="13"/>
        <v>1518</v>
      </c>
      <c r="C121" s="1">
        <f>307+106+148+7+6</f>
        <v>574</v>
      </c>
      <c r="D121" s="1">
        <v>47777</v>
      </c>
      <c r="G121" s="1">
        <f>201+117+102+51+41</f>
        <v>512</v>
      </c>
      <c r="H121" s="1">
        <v>44000</v>
      </c>
      <c r="K121" s="1">
        <f>171+124+121+6+10</f>
        <v>432</v>
      </c>
      <c r="L121" s="1">
        <v>19700</v>
      </c>
    </row>
    <row r="122" spans="1:12" x14ac:dyDescent="0.25">
      <c r="A122" s="1" t="s">
        <v>128</v>
      </c>
      <c r="B122" s="1">
        <f t="shared" ref="B122:B127" si="14">C122+G122+K122</f>
        <v>1568</v>
      </c>
      <c r="C122" s="1">
        <f>327+109+154+7+7</f>
        <v>604</v>
      </c>
      <c r="D122" s="1">
        <v>49200</v>
      </c>
      <c r="G122" s="1">
        <f>202+120+114+51+32</f>
        <v>519</v>
      </c>
      <c r="H122" s="1">
        <v>43500</v>
      </c>
      <c r="K122" s="1">
        <f>179+136+109+10+11</f>
        <v>445</v>
      </c>
      <c r="L122" s="1">
        <v>20399</v>
      </c>
    </row>
    <row r="123" spans="1:12" x14ac:dyDescent="0.25">
      <c r="A123" s="1" t="s">
        <v>130</v>
      </c>
      <c r="B123" s="1">
        <f t="shared" si="14"/>
        <v>1602</v>
      </c>
      <c r="C123" s="1">
        <f>326+107+165+7+9</f>
        <v>614</v>
      </c>
      <c r="D123" s="1">
        <v>49788</v>
      </c>
      <c r="G123" s="1">
        <f>208+133+106+52+29</f>
        <v>528</v>
      </c>
      <c r="H123" s="1">
        <v>45500</v>
      </c>
      <c r="K123" s="1">
        <f>198+127+110+7+18</f>
        <v>460</v>
      </c>
      <c r="L123" s="1">
        <v>20880</v>
      </c>
    </row>
    <row r="124" spans="1:12" x14ac:dyDescent="0.25">
      <c r="A124" s="1" t="s">
        <v>131</v>
      </c>
      <c r="B124" s="1">
        <f t="shared" si="14"/>
        <v>1724</v>
      </c>
      <c r="C124" s="1">
        <f>355+130+181+4+9</f>
        <v>679</v>
      </c>
      <c r="D124" s="1">
        <v>49497</v>
      </c>
      <c r="G124" s="1">
        <f>228+131+101+53+33</f>
        <v>546</v>
      </c>
      <c r="H124" s="1">
        <v>45600</v>
      </c>
      <c r="K124" s="1">
        <f>214+132+137+6+10</f>
        <v>499</v>
      </c>
      <c r="L124" s="1">
        <v>20350</v>
      </c>
    </row>
    <row r="125" spans="1:12" x14ac:dyDescent="0.25">
      <c r="A125" s="1" t="s">
        <v>132</v>
      </c>
      <c r="B125" s="1">
        <f t="shared" si="14"/>
        <v>1765</v>
      </c>
      <c r="C125" s="1">
        <f>362+133+192+11+11</f>
        <v>709</v>
      </c>
      <c r="D125" s="1">
        <v>49555</v>
      </c>
      <c r="G125" s="1">
        <f>226+132+102+52+26</f>
        <v>538</v>
      </c>
      <c r="H125" s="1">
        <v>45500</v>
      </c>
      <c r="K125" s="1">
        <f>218+151+132+7+10</f>
        <v>518</v>
      </c>
      <c r="L125" s="1">
        <v>20000</v>
      </c>
    </row>
    <row r="126" spans="1:12" x14ac:dyDescent="0.25">
      <c r="A126" s="1" t="s">
        <v>133</v>
      </c>
      <c r="B126" s="1">
        <f t="shared" si="14"/>
        <v>1788</v>
      </c>
      <c r="C126" s="1">
        <f>382+126+191+9+12</f>
        <v>720</v>
      </c>
      <c r="D126" s="1">
        <v>47998</v>
      </c>
      <c r="G126" s="1">
        <f>231+132+126+50+25</f>
        <v>564</v>
      </c>
      <c r="H126" s="1">
        <v>44350</v>
      </c>
      <c r="K126" s="1">
        <f>211+152+122+9+10</f>
        <v>504</v>
      </c>
      <c r="L126" s="1">
        <v>19900</v>
      </c>
    </row>
    <row r="127" spans="1:12" x14ac:dyDescent="0.25">
      <c r="A127" s="1" t="s">
        <v>134</v>
      </c>
      <c r="B127" s="1">
        <f t="shared" si="14"/>
        <v>1783</v>
      </c>
      <c r="C127" s="1">
        <f>384+128+194+10+12</f>
        <v>728</v>
      </c>
      <c r="D127" s="1">
        <v>47900</v>
      </c>
      <c r="G127" s="1">
        <f>229+133+131+56+26</f>
        <v>575</v>
      </c>
      <c r="H127" s="1">
        <v>43998</v>
      </c>
      <c r="K127" s="1">
        <f>203+146+112+8+11</f>
        <v>480</v>
      </c>
      <c r="L127" s="1">
        <v>19100</v>
      </c>
    </row>
    <row r="128" spans="1:12" x14ac:dyDescent="0.25">
      <c r="A128" s="1" t="s">
        <v>135</v>
      </c>
      <c r="B128" s="1">
        <f t="shared" ref="B128:B135" si="15">C128+G128+K128</f>
        <v>1727</v>
      </c>
      <c r="C128" s="1">
        <f>379+127+185+12+12</f>
        <v>715</v>
      </c>
      <c r="D128" s="1">
        <v>47279</v>
      </c>
      <c r="G128" s="1">
        <f>224+136+115+55+24</f>
        <v>554</v>
      </c>
      <c r="H128" s="1">
        <v>43980</v>
      </c>
      <c r="K128" s="1">
        <f>189+147+107+6+9</f>
        <v>458</v>
      </c>
      <c r="L128" s="1">
        <v>19400</v>
      </c>
    </row>
    <row r="129" spans="1:12" x14ac:dyDescent="0.25">
      <c r="A129" s="1" t="s">
        <v>138</v>
      </c>
      <c r="B129" s="1">
        <f t="shared" si="15"/>
        <v>1430</v>
      </c>
      <c r="C129" s="1">
        <f>339+110+137+11+7</f>
        <v>604</v>
      </c>
      <c r="D129" s="1">
        <v>47999</v>
      </c>
      <c r="G129" s="1">
        <f>201+104+92+30+25</f>
        <v>452</v>
      </c>
      <c r="H129" s="1">
        <v>44800</v>
      </c>
      <c r="K129" s="1">
        <f>163+110+84+5+12</f>
        <v>374</v>
      </c>
      <c r="L129" s="1">
        <v>19999</v>
      </c>
    </row>
    <row r="130" spans="1:12" x14ac:dyDescent="0.25">
      <c r="A130" s="1" t="s">
        <v>140</v>
      </c>
      <c r="B130" s="1">
        <f t="shared" si="15"/>
        <v>1445</v>
      </c>
      <c r="C130" s="1">
        <f>342+82+135+9+8</f>
        <v>576</v>
      </c>
      <c r="D130" s="1">
        <v>49888</v>
      </c>
      <c r="G130" s="1">
        <f>209+108+95+38+23</f>
        <v>473</v>
      </c>
      <c r="H130" s="1">
        <v>47300</v>
      </c>
      <c r="K130" s="1">
        <f>168+117+93+6+12</f>
        <v>396</v>
      </c>
      <c r="L130" s="1">
        <v>20488</v>
      </c>
    </row>
    <row r="131" spans="1:12" x14ac:dyDescent="0.25">
      <c r="A131" s="1" t="s">
        <v>141</v>
      </c>
      <c r="B131" s="1">
        <f t="shared" si="15"/>
        <v>1335</v>
      </c>
      <c r="C131" s="1">
        <f>291+81+140+8+8</f>
        <v>528</v>
      </c>
      <c r="D131" s="1">
        <v>51000</v>
      </c>
      <c r="G131" s="1">
        <f>202+81+85+37+26</f>
        <v>431</v>
      </c>
      <c r="H131" s="1">
        <v>47995</v>
      </c>
      <c r="K131" s="1">
        <f>161+109+90+6+10</f>
        <v>376</v>
      </c>
      <c r="L131" s="1">
        <v>20995</v>
      </c>
    </row>
    <row r="132" spans="1:12" x14ac:dyDescent="0.25">
      <c r="A132" s="1" t="s">
        <v>142</v>
      </c>
      <c r="B132" s="1">
        <f t="shared" si="15"/>
        <v>1588</v>
      </c>
      <c r="C132" s="1">
        <f>346+116+160+7+11</f>
        <v>640</v>
      </c>
      <c r="D132" s="1">
        <v>50500</v>
      </c>
      <c r="G132" s="1">
        <f>220+123+99+42+25</f>
        <v>509</v>
      </c>
      <c r="H132" s="1">
        <v>49750</v>
      </c>
      <c r="K132" s="1">
        <f>184+118+120+3+14</f>
        <v>439</v>
      </c>
      <c r="L132" s="1">
        <v>20799</v>
      </c>
    </row>
    <row r="133" spans="1:12" x14ac:dyDescent="0.25">
      <c r="A133" s="1" t="s">
        <v>144</v>
      </c>
      <c r="B133" s="1">
        <f t="shared" si="15"/>
        <v>1582</v>
      </c>
      <c r="C133" s="1">
        <f>336+115+172+8+9</f>
        <v>640</v>
      </c>
      <c r="D133" s="1">
        <v>51150</v>
      </c>
      <c r="G133" s="1">
        <f>224+120+104+49+24</f>
        <v>521</v>
      </c>
      <c r="H133" s="1">
        <v>47777</v>
      </c>
      <c r="K133" s="1">
        <f>181+107+114+7+12</f>
        <v>421</v>
      </c>
      <c r="L133" s="1">
        <v>17800</v>
      </c>
    </row>
    <row r="134" spans="1:12" x14ac:dyDescent="0.25">
      <c r="A134" s="1" t="s">
        <v>148</v>
      </c>
      <c r="B134" s="1">
        <f t="shared" si="15"/>
        <v>1501</v>
      </c>
      <c r="C134" s="1">
        <f>328+98+155+6+8</f>
        <v>595</v>
      </c>
      <c r="D134" s="1">
        <v>49999</v>
      </c>
      <c r="G134" s="1">
        <f>221+102+111+41+31</f>
        <v>506</v>
      </c>
      <c r="H134" s="1">
        <v>47450</v>
      </c>
      <c r="K134" s="1">
        <f>169+107+105+5+14</f>
        <v>400</v>
      </c>
      <c r="L134" s="1">
        <v>19700</v>
      </c>
    </row>
    <row r="135" spans="1:12" x14ac:dyDescent="0.25">
      <c r="A135" s="1" t="s">
        <v>151</v>
      </c>
      <c r="B135" s="1">
        <f t="shared" si="15"/>
        <v>1464</v>
      </c>
      <c r="C135" s="1">
        <f>327+100+144+8+7</f>
        <v>586</v>
      </c>
      <c r="D135" s="1">
        <v>50443</v>
      </c>
      <c r="G135" s="1">
        <f>222+99+102+34+29</f>
        <v>486</v>
      </c>
      <c r="H135" s="1">
        <v>46888</v>
      </c>
      <c r="K135" s="1">
        <f>172+106+93+5+16</f>
        <v>392</v>
      </c>
      <c r="L135" s="1">
        <v>19300</v>
      </c>
    </row>
    <row r="142" spans="1:12" x14ac:dyDescent="0.25">
      <c r="B142" s="1" t="s">
        <v>27</v>
      </c>
      <c r="C142" s="1" t="s">
        <v>28</v>
      </c>
      <c r="G142" s="1" t="s">
        <v>29</v>
      </c>
      <c r="K142" s="1" t="s">
        <v>30</v>
      </c>
    </row>
    <row r="143" spans="1:12" x14ac:dyDescent="0.25">
      <c r="A143" s="1" t="s">
        <v>5</v>
      </c>
      <c r="B143" s="1">
        <f t="shared" ref="B143:B151" si="16">C143+G143+K143</f>
        <v>260</v>
      </c>
      <c r="C143" s="1">
        <f>44+6+12+1</f>
        <v>63</v>
      </c>
      <c r="G143" s="1">
        <f>67+11+19+1+4</f>
        <v>102</v>
      </c>
      <c r="K143" s="1">
        <f>41+17+16+11+10</f>
        <v>95</v>
      </c>
    </row>
    <row r="144" spans="1:12" x14ac:dyDescent="0.25">
      <c r="A144" s="1" t="s">
        <v>6</v>
      </c>
      <c r="B144" s="1">
        <f t="shared" si="16"/>
        <v>339</v>
      </c>
      <c r="C144" s="1">
        <f>50+12+9+1</f>
        <v>72</v>
      </c>
      <c r="G144" s="1">
        <f>115+16+28+1+2</f>
        <v>162</v>
      </c>
      <c r="K144" s="1">
        <f>68+13+10+3+11</f>
        <v>105</v>
      </c>
    </row>
    <row r="145" spans="1:11" x14ac:dyDescent="0.25">
      <c r="A145" s="1" t="s">
        <v>7</v>
      </c>
      <c r="B145" s="1">
        <f t="shared" si="16"/>
        <v>460</v>
      </c>
      <c r="C145" s="1">
        <f>59+21+10+2</f>
        <v>92</v>
      </c>
      <c r="G145" s="1">
        <f>149+22+32+1+3</f>
        <v>207</v>
      </c>
      <c r="K145" s="1">
        <f>92+23+21+10+15</f>
        <v>161</v>
      </c>
    </row>
    <row r="146" spans="1:11" x14ac:dyDescent="0.25">
      <c r="A146" s="1" t="s">
        <v>8</v>
      </c>
      <c r="B146" s="1">
        <f t="shared" si="16"/>
        <v>463</v>
      </c>
      <c r="C146" s="1">
        <f>57+16+11+2+1</f>
        <v>87</v>
      </c>
      <c r="G146" s="1">
        <f>150+22+29+3+3</f>
        <v>207</v>
      </c>
      <c r="K146" s="1">
        <f>93+26+24+11+15</f>
        <v>169</v>
      </c>
    </row>
    <row r="147" spans="1:11" x14ac:dyDescent="0.25">
      <c r="A147" s="1" t="s">
        <v>9</v>
      </c>
      <c r="B147" s="1">
        <f t="shared" si="16"/>
        <v>481</v>
      </c>
      <c r="C147" s="1">
        <f>65+15+9+2+1</f>
        <v>92</v>
      </c>
      <c r="G147" s="1">
        <f>155+25+31+3+4</f>
        <v>218</v>
      </c>
      <c r="K147" s="1">
        <f>97+25+24+11+14</f>
        <v>171</v>
      </c>
    </row>
    <row r="148" spans="1:11" x14ac:dyDescent="0.25">
      <c r="A148" s="1" t="s">
        <v>10</v>
      </c>
      <c r="B148" s="1">
        <f t="shared" si="16"/>
        <v>518</v>
      </c>
      <c r="C148" s="1">
        <f>82+15+11+2+1</f>
        <v>111</v>
      </c>
      <c r="G148" s="1">
        <f>176+31+30+1+4</f>
        <v>242</v>
      </c>
      <c r="K148" s="1">
        <f>102+30+21+6+6</f>
        <v>165</v>
      </c>
    </row>
    <row r="149" spans="1:11" x14ac:dyDescent="0.25">
      <c r="A149" s="1" t="s">
        <v>11</v>
      </c>
      <c r="B149" s="1">
        <f t="shared" si="16"/>
        <v>494</v>
      </c>
      <c r="C149" s="1">
        <f>80+15+11+2+1</f>
        <v>109</v>
      </c>
      <c r="G149" s="1">
        <f>171+23+28+1+4</f>
        <v>227</v>
      </c>
      <c r="K149" s="1">
        <f>98+27+21+6+6</f>
        <v>158</v>
      </c>
    </row>
    <row r="150" spans="1:11" x14ac:dyDescent="0.25">
      <c r="A150" s="1" t="s">
        <v>12</v>
      </c>
      <c r="B150" s="1">
        <f t="shared" si="16"/>
        <v>524</v>
      </c>
      <c r="C150" s="1">
        <f>87+16+11+2</f>
        <v>116</v>
      </c>
      <c r="G150" s="1">
        <f>179+27+32+2+4</f>
        <v>244</v>
      </c>
      <c r="K150" s="1">
        <f>104+26+23+6+5</f>
        <v>164</v>
      </c>
    </row>
    <row r="151" spans="1:11" x14ac:dyDescent="0.25">
      <c r="A151" s="1" t="s">
        <v>13</v>
      </c>
      <c r="B151" s="1">
        <f t="shared" si="16"/>
        <v>517</v>
      </c>
      <c r="C151" s="1">
        <f>78+12+11+1+1</f>
        <v>103</v>
      </c>
      <c r="G151" s="1">
        <f>178+29+35+2+5</f>
        <v>249</v>
      </c>
      <c r="K151" s="1">
        <f>108+23+20+6+8</f>
        <v>165</v>
      </c>
    </row>
    <row r="152" spans="1:11" x14ac:dyDescent="0.25">
      <c r="A152" s="1" t="s">
        <v>14</v>
      </c>
      <c r="B152" s="1">
        <f t="shared" ref="B152:B157" si="17">C152+G152+K152</f>
        <v>530</v>
      </c>
      <c r="C152" s="1">
        <f>86+12+8+1+1</f>
        <v>108</v>
      </c>
      <c r="G152" s="1">
        <f>175+32+34+2+5</f>
        <v>248</v>
      </c>
      <c r="K152" s="1">
        <f>115+26+19+5+9</f>
        <v>174</v>
      </c>
    </row>
    <row r="153" spans="1:11" x14ac:dyDescent="0.25">
      <c r="A153" s="1" t="s">
        <v>69</v>
      </c>
      <c r="B153" s="1">
        <f t="shared" si="17"/>
        <v>539</v>
      </c>
      <c r="C153" s="1">
        <f>80+15+11+2+2</f>
        <v>110</v>
      </c>
      <c r="G153" s="1">
        <f>184+28+34+4</f>
        <v>250</v>
      </c>
      <c r="K153" s="1">
        <f>117+29+19+5+9</f>
        <v>179</v>
      </c>
    </row>
    <row r="154" spans="1:11" x14ac:dyDescent="0.25">
      <c r="A154" s="1" t="s">
        <v>76</v>
      </c>
      <c r="B154" s="1">
        <f t="shared" si="17"/>
        <v>484</v>
      </c>
      <c r="C154" s="1">
        <f>69+16+8+3+2</f>
        <v>98</v>
      </c>
      <c r="G154" s="1">
        <f>163+22+36+3</f>
        <v>224</v>
      </c>
      <c r="K154" s="1">
        <f>104+26+18+5+9</f>
        <v>162</v>
      </c>
    </row>
    <row r="155" spans="1:11" x14ac:dyDescent="0.25">
      <c r="A155" s="1" t="s">
        <v>103</v>
      </c>
      <c r="B155" s="1">
        <f t="shared" si="17"/>
        <v>488</v>
      </c>
      <c r="C155" s="1">
        <f>66+11+6+3+3</f>
        <v>89</v>
      </c>
      <c r="G155" s="1">
        <f>171+24+33+3</f>
        <v>231</v>
      </c>
      <c r="K155" s="1">
        <f>108+28+16+5+11</f>
        <v>168</v>
      </c>
    </row>
    <row r="156" spans="1:11" x14ac:dyDescent="0.25">
      <c r="A156" s="1" t="s">
        <v>118</v>
      </c>
      <c r="B156" s="1">
        <f t="shared" si="17"/>
        <v>467</v>
      </c>
      <c r="C156" s="1">
        <f>72+10+6+2+3</f>
        <v>93</v>
      </c>
      <c r="G156" s="1">
        <f>157+25+25+1+4</f>
        <v>212</v>
      </c>
      <c r="K156" s="1">
        <f>100+32+16+5+9</f>
        <v>162</v>
      </c>
    </row>
    <row r="157" spans="1:11" x14ac:dyDescent="0.25">
      <c r="A157" s="1" t="s">
        <v>122</v>
      </c>
      <c r="B157" s="1">
        <f t="shared" si="17"/>
        <v>385</v>
      </c>
      <c r="C157" s="1">
        <f>64+8+5+2+3</f>
        <v>82</v>
      </c>
      <c r="G157" s="1">
        <f>123+11+20+1+4</f>
        <v>159</v>
      </c>
      <c r="K157" s="1">
        <f>87+27+16+6+8</f>
        <v>144</v>
      </c>
    </row>
    <row r="158" spans="1:11" x14ac:dyDescent="0.25">
      <c r="A158" s="1" t="s">
        <v>128</v>
      </c>
      <c r="B158" s="1">
        <f t="shared" ref="B158:B163" si="18">C158+G158+K158</f>
        <v>434</v>
      </c>
      <c r="C158" s="1">
        <f>70+8+4+2+4</f>
        <v>88</v>
      </c>
      <c r="G158" s="1">
        <f>147+14+18+1+6</f>
        <v>186</v>
      </c>
      <c r="K158" s="1">
        <f>104+25+16+7+8</f>
        <v>160</v>
      </c>
    </row>
    <row r="159" spans="1:11" x14ac:dyDescent="0.25">
      <c r="A159" s="1" t="s">
        <v>130</v>
      </c>
      <c r="B159" s="1">
        <f t="shared" si="18"/>
        <v>444</v>
      </c>
      <c r="C159" s="1">
        <f>72+10+7+2+3</f>
        <v>94</v>
      </c>
      <c r="G159" s="1">
        <f>147+12+14+2+4</f>
        <v>179</v>
      </c>
      <c r="K159" s="1">
        <f>105+32+20+6+8</f>
        <v>171</v>
      </c>
    </row>
    <row r="160" spans="1:11" x14ac:dyDescent="0.25">
      <c r="A160" s="1" t="s">
        <v>131</v>
      </c>
      <c r="B160" s="1">
        <f t="shared" si="18"/>
        <v>450</v>
      </c>
      <c r="C160" s="1">
        <f>74+9+5+2+3</f>
        <v>93</v>
      </c>
      <c r="G160" s="1">
        <f>148+16+21+2+4</f>
        <v>191</v>
      </c>
      <c r="K160" s="1">
        <f>101+27+21+7+10</f>
        <v>166</v>
      </c>
    </row>
    <row r="161" spans="1:11" x14ac:dyDescent="0.25">
      <c r="A161" s="1" t="s">
        <v>132</v>
      </c>
      <c r="B161" s="1">
        <f t="shared" si="18"/>
        <v>460</v>
      </c>
      <c r="C161" s="1">
        <f>71+14+9+2+2</f>
        <v>98</v>
      </c>
      <c r="G161" s="1">
        <f>144+15+17+1+5</f>
        <v>182</v>
      </c>
      <c r="K161" s="1">
        <f>113+29+21+6+11</f>
        <v>180</v>
      </c>
    </row>
    <row r="162" spans="1:11" x14ac:dyDescent="0.25">
      <c r="A162" s="1" t="s">
        <v>133</v>
      </c>
      <c r="B162" s="1">
        <f t="shared" si="18"/>
        <v>465</v>
      </c>
      <c r="C162" s="1">
        <f>69+14+12+2+2</f>
        <v>99</v>
      </c>
      <c r="G162" s="1">
        <f>141+25+19+6</f>
        <v>191</v>
      </c>
      <c r="K162" s="1">
        <f>110+28+19+6+12</f>
        <v>175</v>
      </c>
    </row>
    <row r="163" spans="1:11" x14ac:dyDescent="0.25">
      <c r="A163" s="1" t="s">
        <v>134</v>
      </c>
      <c r="B163" s="1">
        <f t="shared" si="18"/>
        <v>458</v>
      </c>
      <c r="C163" s="1">
        <f>71+14+5+1+2</f>
        <v>93</v>
      </c>
      <c r="G163" s="1">
        <f>136+16+19+1+15</f>
        <v>187</v>
      </c>
      <c r="K163" s="1">
        <f>120+25+16+6+11</f>
        <v>178</v>
      </c>
    </row>
    <row r="164" spans="1:11" x14ac:dyDescent="0.25">
      <c r="A164" s="1" t="s">
        <v>135</v>
      </c>
      <c r="B164" s="1">
        <f t="shared" ref="B164:B171" si="19">C164+G164+K164</f>
        <v>439</v>
      </c>
      <c r="C164" s="1">
        <f>79+9+8+1+1</f>
        <v>98</v>
      </c>
      <c r="G164" s="1">
        <f>135+20+13+1+4</f>
        <v>173</v>
      </c>
      <c r="K164" s="1">
        <f>117+19+16+6+10</f>
        <v>168</v>
      </c>
    </row>
    <row r="165" spans="1:11" x14ac:dyDescent="0.25">
      <c r="A165" s="1" t="s">
        <v>138</v>
      </c>
      <c r="B165" s="1">
        <f t="shared" si="19"/>
        <v>356</v>
      </c>
      <c r="C165" s="1">
        <f>63+9+9+2+1</f>
        <v>84</v>
      </c>
      <c r="G165" s="1">
        <f>112+17+11+1+4</f>
        <v>145</v>
      </c>
      <c r="K165" s="1">
        <f>85+19+10+5+8</f>
        <v>127</v>
      </c>
    </row>
    <row r="166" spans="1:11" x14ac:dyDescent="0.25">
      <c r="A166" s="1" t="s">
        <v>140</v>
      </c>
      <c r="B166" s="1">
        <f t="shared" si="19"/>
        <v>377</v>
      </c>
      <c r="C166" s="1">
        <f>63+8+7+2+1</f>
        <v>81</v>
      </c>
      <c r="G166" s="1">
        <f>111+17+13+5</f>
        <v>146</v>
      </c>
      <c r="K166" s="1">
        <f>91+21+14+13+11</f>
        <v>150</v>
      </c>
    </row>
    <row r="167" spans="1:11" x14ac:dyDescent="0.25">
      <c r="A167" s="1" t="s">
        <v>141</v>
      </c>
      <c r="B167" s="1">
        <f t="shared" si="19"/>
        <v>334</v>
      </c>
      <c r="C167" s="1">
        <f>59+5+6+2</f>
        <v>72</v>
      </c>
      <c r="G167" s="1">
        <f>107+13+12+4</f>
        <v>136</v>
      </c>
      <c r="K167" s="1">
        <f>73+23+15+9+6</f>
        <v>126</v>
      </c>
    </row>
    <row r="168" spans="1:11" x14ac:dyDescent="0.25">
      <c r="A168" s="1" t="s">
        <v>142</v>
      </c>
      <c r="B168" s="1">
        <f t="shared" si="19"/>
        <v>370</v>
      </c>
      <c r="C168" s="1">
        <f>57+5+6+2</f>
        <v>70</v>
      </c>
      <c r="G168" s="1">
        <f>121+17+17+2</f>
        <v>157</v>
      </c>
      <c r="K168" s="1">
        <f>97+17+17+6+6</f>
        <v>143</v>
      </c>
    </row>
    <row r="169" spans="1:11" x14ac:dyDescent="0.25">
      <c r="A169" s="1" t="s">
        <v>144</v>
      </c>
      <c r="B169" s="1">
        <f t="shared" si="19"/>
        <v>371</v>
      </c>
      <c r="C169" s="1">
        <f>62+6+5+2</f>
        <v>75</v>
      </c>
      <c r="G169" s="1">
        <f>121+17+17+1</f>
        <v>156</v>
      </c>
      <c r="K169" s="1">
        <f>93+20+15+5+7</f>
        <v>140</v>
      </c>
    </row>
    <row r="170" spans="1:11" x14ac:dyDescent="0.25">
      <c r="A170" s="1" t="s">
        <v>148</v>
      </c>
      <c r="B170" s="1">
        <f t="shared" si="19"/>
        <v>322</v>
      </c>
      <c r="C170" s="1">
        <f>54+8+7+2</f>
        <v>71</v>
      </c>
      <c r="G170" s="1">
        <f>94+16+12+2</f>
        <v>124</v>
      </c>
      <c r="K170" s="1">
        <f>85+21+12+5+4</f>
        <v>127</v>
      </c>
    </row>
    <row r="171" spans="1:11" x14ac:dyDescent="0.25">
      <c r="A171" s="1" t="s">
        <v>151</v>
      </c>
      <c r="B171" s="1">
        <f t="shared" si="19"/>
        <v>340</v>
      </c>
      <c r="C171" s="1">
        <f>65+7+7+1</f>
        <v>80</v>
      </c>
      <c r="G171" s="1">
        <f>99+19+14+1+2</f>
        <v>135</v>
      </c>
      <c r="K171" s="1">
        <f>83+22+11+5+4</f>
        <v>125</v>
      </c>
    </row>
    <row r="177" spans="1:13" x14ac:dyDescent="0.25">
      <c r="B177" s="1" t="s">
        <v>31</v>
      </c>
      <c r="C177" s="1" t="s">
        <v>110</v>
      </c>
      <c r="D177" s="1" t="s">
        <v>111</v>
      </c>
      <c r="E177" s="1" t="s">
        <v>32</v>
      </c>
      <c r="G177" s="1" t="s">
        <v>110</v>
      </c>
      <c r="H177" s="1" t="s">
        <v>33</v>
      </c>
      <c r="I177" s="1" t="s">
        <v>34</v>
      </c>
      <c r="K177" s="1" t="s">
        <v>105</v>
      </c>
      <c r="L177" s="1" t="s">
        <v>112</v>
      </c>
      <c r="M177" s="1" t="s">
        <v>35</v>
      </c>
    </row>
    <row r="178" spans="1:13" x14ac:dyDescent="0.25">
      <c r="A178" s="1" t="s">
        <v>5</v>
      </c>
      <c r="B178" s="1">
        <f t="shared" ref="B178:B186" si="20">C178+D178+E178+G178+H178+I178+K178+L178+M178</f>
        <v>1429</v>
      </c>
      <c r="C178" s="1">
        <f>93+13+8</f>
        <v>114</v>
      </c>
      <c r="D178" s="1">
        <f>96+16+15+1</f>
        <v>128</v>
      </c>
      <c r="E178" s="2">
        <f>389+34+16+1+1</f>
        <v>441</v>
      </c>
      <c r="G178" s="1">
        <f>121+12+7+1+2</f>
        <v>143</v>
      </c>
      <c r="H178" s="1">
        <f>80+13+12+1</f>
        <v>106</v>
      </c>
      <c r="I178" s="1">
        <f>84+14+21+2</f>
        <v>121</v>
      </c>
      <c r="K178" s="1">
        <f>58+20+10+1</f>
        <v>89</v>
      </c>
      <c r="L178" s="1">
        <f>152+28+5+1</f>
        <v>186</v>
      </c>
      <c r="M178" s="1">
        <f>62+22+13+4</f>
        <v>101</v>
      </c>
    </row>
    <row r="179" spans="1:13" x14ac:dyDescent="0.25">
      <c r="A179" s="1" t="s">
        <v>6</v>
      </c>
      <c r="B179" s="1">
        <f t="shared" si="20"/>
        <v>1673</v>
      </c>
      <c r="C179" s="1">
        <f>79+16+11</f>
        <v>106</v>
      </c>
      <c r="D179" s="1">
        <f>86+16+22+1</f>
        <v>125</v>
      </c>
      <c r="E179" s="1">
        <f>419+56+17+2</f>
        <v>494</v>
      </c>
      <c r="G179" s="1">
        <f>155+27+19+3+2</f>
        <v>206</v>
      </c>
      <c r="H179" s="1">
        <f>82+30+14</f>
        <v>126</v>
      </c>
      <c r="I179" s="1">
        <f>72+28+20+3</f>
        <v>123</v>
      </c>
      <c r="K179" s="1">
        <f>93+20+18+1+3</f>
        <v>135</v>
      </c>
      <c r="L179" s="1">
        <f>174+34+20+3+4</f>
        <v>235</v>
      </c>
      <c r="M179" s="1">
        <f>93+13+13+2+2</f>
        <v>123</v>
      </c>
    </row>
    <row r="180" spans="1:13" x14ac:dyDescent="0.25">
      <c r="A180" s="1" t="s">
        <v>7</v>
      </c>
      <c r="B180" s="1">
        <f t="shared" si="20"/>
        <v>2645</v>
      </c>
      <c r="C180" s="1">
        <f>113+19+12</f>
        <v>144</v>
      </c>
      <c r="D180" s="1">
        <f>144+21+23+1+2</f>
        <v>191</v>
      </c>
      <c r="E180" s="1">
        <f>758+71+25+2</f>
        <v>856</v>
      </c>
      <c r="G180" s="1">
        <f>224+24+23+2+3</f>
        <v>276</v>
      </c>
      <c r="H180" s="1">
        <f>141+27+18+1</f>
        <v>187</v>
      </c>
      <c r="I180" s="1">
        <f>126+27+31+4</f>
        <v>188</v>
      </c>
      <c r="K180" s="1">
        <f>163+36+24+1+5</f>
        <v>229</v>
      </c>
      <c r="L180" s="1">
        <f>301+48+28+3+5</f>
        <v>385</v>
      </c>
      <c r="M180" s="1">
        <f>139+22+22+2+4</f>
        <v>189</v>
      </c>
    </row>
    <row r="181" spans="1:13" x14ac:dyDescent="0.25">
      <c r="A181" s="1" t="s">
        <v>8</v>
      </c>
      <c r="B181" s="1">
        <f t="shared" si="20"/>
        <v>2711</v>
      </c>
      <c r="C181" s="1">
        <f>131+21+18</f>
        <v>170</v>
      </c>
      <c r="D181" s="1">
        <f>142+27+29+1+2</f>
        <v>201</v>
      </c>
      <c r="E181" s="1">
        <f>750+69+34+3</f>
        <v>856</v>
      </c>
      <c r="G181" s="1">
        <f>244+30+23+2+3</f>
        <v>302</v>
      </c>
      <c r="H181" s="1">
        <f>140+29+19+1</f>
        <v>189</v>
      </c>
      <c r="I181" s="1">
        <f>121+24+22+4</f>
        <v>171</v>
      </c>
      <c r="K181" s="1">
        <f>159+38+24+1+4</f>
        <v>226</v>
      </c>
      <c r="L181" s="1">
        <f>280+56+30+6+6</f>
        <v>378</v>
      </c>
      <c r="M181" s="1">
        <f>157+28+28+2+3</f>
        <v>218</v>
      </c>
    </row>
    <row r="182" spans="1:13" x14ac:dyDescent="0.25">
      <c r="A182" s="1" t="s">
        <v>9</v>
      </c>
      <c r="B182" s="1">
        <f t="shared" si="20"/>
        <v>3060</v>
      </c>
      <c r="C182" s="1">
        <f>155+22+15</f>
        <v>192</v>
      </c>
      <c r="D182" s="1">
        <f>171+32+32+1+2</f>
        <v>238</v>
      </c>
      <c r="E182" s="1">
        <f>816+77+27+4</f>
        <v>924</v>
      </c>
      <c r="G182" s="1">
        <f>268+33+23+3+3</f>
        <v>330</v>
      </c>
      <c r="H182" s="1">
        <f>156+27+15+1</f>
        <v>199</v>
      </c>
      <c r="I182" s="1">
        <f>134+26+22+3</f>
        <v>185</v>
      </c>
      <c r="K182" s="1">
        <f>195+36+25+4+4</f>
        <v>264</v>
      </c>
      <c r="L182" s="1">
        <f>368+54+25+6+6</f>
        <v>459</v>
      </c>
      <c r="M182" s="1">
        <f>204+30+30+2+3</f>
        <v>269</v>
      </c>
    </row>
    <row r="183" spans="1:13" x14ac:dyDescent="0.25">
      <c r="A183" s="1" t="s">
        <v>10</v>
      </c>
      <c r="B183" s="1">
        <f t="shared" si="20"/>
        <v>3284</v>
      </c>
      <c r="C183" s="1">
        <f>175+36+18</f>
        <v>229</v>
      </c>
      <c r="D183" s="1">
        <f>199+29+36+2+2</f>
        <v>268</v>
      </c>
      <c r="E183" s="1">
        <f>843+81+33+4</f>
        <v>961</v>
      </c>
      <c r="G183" s="1">
        <f>273+33+29+2+3</f>
        <v>340</v>
      </c>
      <c r="H183" s="1">
        <f>159+22+20+2+1</f>
        <v>204</v>
      </c>
      <c r="I183" s="1">
        <f>147+29+35+4</f>
        <v>215</v>
      </c>
      <c r="K183" s="1">
        <f>201+40+21+3+3</f>
        <v>268</v>
      </c>
      <c r="L183" s="1">
        <f>398+57+28+4+6</f>
        <v>493</v>
      </c>
      <c r="M183" s="1">
        <f>243+30+28+2+3</f>
        <v>306</v>
      </c>
    </row>
    <row r="184" spans="1:13" x14ac:dyDescent="0.25">
      <c r="A184" s="1" t="s">
        <v>11</v>
      </c>
      <c r="B184" s="1">
        <f t="shared" si="20"/>
        <v>2961</v>
      </c>
      <c r="C184" s="1">
        <f>154+30+20</f>
        <v>204</v>
      </c>
      <c r="D184" s="1">
        <f>180+19+28+2+2</f>
        <v>231</v>
      </c>
      <c r="E184" s="1">
        <f>725+67+28+3+1</f>
        <v>824</v>
      </c>
      <c r="G184" s="1">
        <f>261+31+31+2+3</f>
        <v>328</v>
      </c>
      <c r="H184" s="1">
        <f>164+23+25+2</f>
        <v>214</v>
      </c>
      <c r="I184" s="1">
        <f>120+22+33+1+5</f>
        <v>181</v>
      </c>
      <c r="K184" s="1">
        <f>199+37+23+3+3</f>
        <v>265</v>
      </c>
      <c r="L184" s="1">
        <f>370+45+31+3+3</f>
        <v>452</v>
      </c>
      <c r="M184" s="1">
        <f>204+25+30+1+2</f>
        <v>262</v>
      </c>
    </row>
    <row r="185" spans="1:13" x14ac:dyDescent="0.25">
      <c r="A185" s="1" t="s">
        <v>12</v>
      </c>
      <c r="B185" s="1">
        <f t="shared" si="20"/>
        <v>3153</v>
      </c>
      <c r="C185" s="1">
        <f>172+30+22</f>
        <v>224</v>
      </c>
      <c r="D185" s="1">
        <f>190+25+29+2+1</f>
        <v>247</v>
      </c>
      <c r="E185" s="1">
        <f>763+73+29+3+1</f>
        <v>869</v>
      </c>
      <c r="G185" s="1">
        <f>296+32+26+2+3</f>
        <v>359</v>
      </c>
      <c r="H185" s="1">
        <f>185+24+16+2</f>
        <v>227</v>
      </c>
      <c r="I185" s="1">
        <f>136+20+29+1+6</f>
        <v>192</v>
      </c>
      <c r="K185" s="1">
        <f>211+32+25+2+3</f>
        <v>273</v>
      </c>
      <c r="L185" s="1">
        <f>399+50+28+3+3</f>
        <v>483</v>
      </c>
      <c r="M185" s="1">
        <f>224+22+29+1+3</f>
        <v>279</v>
      </c>
    </row>
    <row r="186" spans="1:13" x14ac:dyDescent="0.25">
      <c r="A186" s="1" t="s">
        <v>13</v>
      </c>
      <c r="B186" s="1">
        <f t="shared" si="20"/>
        <v>2963</v>
      </c>
      <c r="C186" s="1">
        <f>157+23+15</f>
        <v>195</v>
      </c>
      <c r="D186" s="1">
        <f>175+25+26+3+2</f>
        <v>231</v>
      </c>
      <c r="E186" s="1">
        <f>748+64+26+3+2</f>
        <v>843</v>
      </c>
      <c r="G186" s="1">
        <f>266+29+22+3+3</f>
        <v>323</v>
      </c>
      <c r="H186" s="1">
        <f>185+23+18+1+1</f>
        <v>228</v>
      </c>
      <c r="I186" s="1">
        <f>137+19+25+2+5</f>
        <v>188</v>
      </c>
      <c r="K186" s="1">
        <f>191+34+21+2+3</f>
        <v>251</v>
      </c>
      <c r="L186" s="1">
        <f>367+54+29+4+4</f>
        <v>458</v>
      </c>
      <c r="M186" s="1">
        <f>189+26+26+2+3</f>
        <v>246</v>
      </c>
    </row>
    <row r="187" spans="1:13" x14ac:dyDescent="0.25">
      <c r="A187" s="1" t="s">
        <v>14</v>
      </c>
      <c r="B187" s="1">
        <f t="shared" ref="B187:B197" si="21">C187+D187+E187+G187+H187+I187+K187+L187+M187</f>
        <v>2956</v>
      </c>
      <c r="C187" s="1">
        <f>154+26+13</f>
        <v>193</v>
      </c>
      <c r="D187" s="1">
        <f>183+23+22+2+2</f>
        <v>232</v>
      </c>
      <c r="E187" s="1">
        <f>759+82+28+5</f>
        <v>874</v>
      </c>
      <c r="G187" s="1">
        <f>252+25+19+1+4</f>
        <v>301</v>
      </c>
      <c r="H187" s="1">
        <f>176+28+16+1</f>
        <v>221</v>
      </c>
      <c r="I187" s="1">
        <f>126+17+23+1+5</f>
        <v>172</v>
      </c>
      <c r="K187" s="1">
        <f>194+35+20+2+3</f>
        <v>254</v>
      </c>
      <c r="L187" s="1">
        <f>370+54+29+4+4</f>
        <v>461</v>
      </c>
      <c r="M187" s="1">
        <f>182+32+31+1+2</f>
        <v>248</v>
      </c>
    </row>
    <row r="188" spans="1:13" x14ac:dyDescent="0.25">
      <c r="A188" s="1" t="s">
        <v>69</v>
      </c>
      <c r="B188" s="1">
        <f t="shared" si="21"/>
        <v>3122</v>
      </c>
      <c r="C188" s="1">
        <f>181+31+14</f>
        <v>226</v>
      </c>
      <c r="D188" s="1">
        <f>211+29+32+3+1</f>
        <v>276</v>
      </c>
      <c r="E188" s="1">
        <f>777+74+33+5</f>
        <v>889</v>
      </c>
      <c r="G188" s="1">
        <f>263+24+20+3+3</f>
        <v>313</v>
      </c>
      <c r="H188" s="1">
        <f>199+25+20+2+1</f>
        <v>247</v>
      </c>
      <c r="I188" s="1">
        <f>136+21+21+1+7</f>
        <v>186</v>
      </c>
      <c r="K188" s="1">
        <f>209+37+18+2+3</f>
        <v>269</v>
      </c>
      <c r="L188" s="1">
        <f>369+59+27+4+3</f>
        <v>462</v>
      </c>
      <c r="M188" s="1">
        <f>208+23+20+1+2</f>
        <v>254</v>
      </c>
    </row>
    <row r="189" spans="1:13" x14ac:dyDescent="0.25">
      <c r="A189" s="1" t="s">
        <v>76</v>
      </c>
      <c r="B189" s="1">
        <f t="shared" si="21"/>
        <v>2892</v>
      </c>
      <c r="C189" s="1">
        <f>172+26+13</f>
        <v>211</v>
      </c>
      <c r="D189" s="1">
        <f>198+26+30+4+1</f>
        <v>259</v>
      </c>
      <c r="E189" s="1">
        <f>692+78+35+5</f>
        <v>810</v>
      </c>
      <c r="G189" s="1">
        <f>274+22+17+3+3</f>
        <v>319</v>
      </c>
      <c r="H189" s="1">
        <f>187+28+25+2+1</f>
        <v>243</v>
      </c>
      <c r="I189" s="1">
        <f>132+28+22+1+6</f>
        <v>189</v>
      </c>
      <c r="K189" s="1">
        <f>171+30+20+3</f>
        <v>224</v>
      </c>
      <c r="L189" s="1">
        <f>336+58+33+2+2</f>
        <v>431</v>
      </c>
      <c r="M189" s="1">
        <f>168+25+11+1+1</f>
        <v>206</v>
      </c>
    </row>
    <row r="190" spans="1:13" x14ac:dyDescent="0.25">
      <c r="A190" s="1" t="s">
        <v>103</v>
      </c>
      <c r="B190" s="1">
        <f t="shared" si="21"/>
        <v>2860</v>
      </c>
      <c r="C190" s="1">
        <f>156+26+12</f>
        <v>194</v>
      </c>
      <c r="D190" s="1">
        <f>163+27+27+4+1</f>
        <v>222</v>
      </c>
      <c r="E190" s="1">
        <f>711+80+29+5+1</f>
        <v>826</v>
      </c>
      <c r="G190" s="1">
        <f>266+27+22+2+3</f>
        <v>320</v>
      </c>
      <c r="H190" s="1">
        <f>167+32+25+22</f>
        <v>246</v>
      </c>
      <c r="I190" s="1">
        <f>124+23+26+1+5</f>
        <v>179</v>
      </c>
      <c r="K190" s="1">
        <f>185+31+23+3</f>
        <v>242</v>
      </c>
      <c r="L190" s="1">
        <f>323+54+29+3+2</f>
        <v>411</v>
      </c>
      <c r="M190" s="1">
        <f>176+26+14+1+3</f>
        <v>220</v>
      </c>
    </row>
    <row r="191" spans="1:13" x14ac:dyDescent="0.25">
      <c r="A191" s="1" t="s">
        <v>118</v>
      </c>
      <c r="B191" s="1">
        <f t="shared" si="21"/>
        <v>2547</v>
      </c>
      <c r="C191" s="1">
        <f>145+26+14+1</f>
        <v>186</v>
      </c>
      <c r="D191" s="1">
        <f>174+20+20+4+1</f>
        <v>219</v>
      </c>
      <c r="E191" s="1">
        <f>625+56+33+4</f>
        <v>718</v>
      </c>
      <c r="G191" s="1">
        <f>250+22+28+6+3</f>
        <v>309</v>
      </c>
      <c r="H191" s="1">
        <f>161+19+24+1</f>
        <v>205</v>
      </c>
      <c r="I191" s="1">
        <f>123+24+22+1+10</f>
        <v>180</v>
      </c>
      <c r="K191" s="1">
        <f>119+27+21+2+2</f>
        <v>171</v>
      </c>
      <c r="L191" s="1">
        <f>282+42+31+3+3</f>
        <v>361</v>
      </c>
      <c r="M191" s="1">
        <f>150+30+15+2+1</f>
        <v>198</v>
      </c>
    </row>
    <row r="192" spans="1:13" x14ac:dyDescent="0.25">
      <c r="A192" s="1" t="s">
        <v>122</v>
      </c>
      <c r="B192" s="1">
        <f t="shared" si="21"/>
        <v>2173</v>
      </c>
      <c r="C192" s="1">
        <f>128+12+10+1</f>
        <v>151</v>
      </c>
      <c r="D192" s="1">
        <f>165+19+13+4+2</f>
        <v>203</v>
      </c>
      <c r="E192" s="1">
        <f>518+55+31+3+1</f>
        <v>608</v>
      </c>
      <c r="G192" s="1">
        <f>213+18+26+4+2</f>
        <v>263</v>
      </c>
      <c r="H192" s="1">
        <f>120+20+21+1</f>
        <v>162</v>
      </c>
      <c r="I192" s="1">
        <f>97+18+14+1+8</f>
        <v>138</v>
      </c>
      <c r="K192" s="1">
        <f>105+24+20+2+2</f>
        <v>153</v>
      </c>
      <c r="L192" s="1">
        <f>259+42+29+2+3</f>
        <v>335</v>
      </c>
      <c r="M192" s="1">
        <f>118+25+14+2+1</f>
        <v>160</v>
      </c>
    </row>
    <row r="193" spans="1:13" x14ac:dyDescent="0.25">
      <c r="A193" s="1" t="s">
        <v>128</v>
      </c>
      <c r="B193" s="1">
        <f t="shared" si="21"/>
        <v>2451</v>
      </c>
      <c r="C193" s="1">
        <f>172+23+8+1</f>
        <v>204</v>
      </c>
      <c r="D193" s="1">
        <f>177+46+14+4+2</f>
        <v>243</v>
      </c>
      <c r="E193" s="1">
        <f>605+56+30+4</f>
        <v>695</v>
      </c>
      <c r="G193" s="1">
        <f>227+19+15+2+3</f>
        <v>266</v>
      </c>
      <c r="H193" s="1">
        <f>142+20+16</f>
        <v>178</v>
      </c>
      <c r="I193" s="1">
        <f>114+14+14+1+6</f>
        <v>149</v>
      </c>
      <c r="K193" s="1">
        <f>125+30+22+2+2</f>
        <v>181</v>
      </c>
      <c r="L193" s="1">
        <f>271+50+29+2+3</f>
        <v>355</v>
      </c>
      <c r="M193" s="1">
        <f>141+24+13+1+1</f>
        <v>180</v>
      </c>
    </row>
    <row r="194" spans="1:13" x14ac:dyDescent="0.25">
      <c r="A194" s="1" t="s">
        <v>130</v>
      </c>
      <c r="B194" s="1">
        <f t="shared" si="21"/>
        <v>2679</v>
      </c>
      <c r="C194" s="1">
        <f>177+24+10+1</f>
        <v>212</v>
      </c>
      <c r="D194" s="1">
        <f>183+43+16+4+1</f>
        <v>247</v>
      </c>
      <c r="E194" s="1">
        <f>601+70+34+4+1</f>
        <v>710</v>
      </c>
      <c r="G194" s="1">
        <f>269+30+22+4+3</f>
        <v>328</v>
      </c>
      <c r="H194" s="1">
        <f>181+25+18+1</f>
        <v>225</v>
      </c>
      <c r="I194" s="1">
        <f>150+23+21+2+7</f>
        <v>203</v>
      </c>
      <c r="K194" s="1">
        <f>132+37+23+2+2</f>
        <v>196</v>
      </c>
      <c r="L194" s="1">
        <f>294+41+36+2+3</f>
        <v>376</v>
      </c>
      <c r="M194" s="1">
        <f>141+22+15+2+2</f>
        <v>182</v>
      </c>
    </row>
    <row r="195" spans="1:13" x14ac:dyDescent="0.25">
      <c r="A195" s="1" t="s">
        <v>131</v>
      </c>
      <c r="B195" s="1">
        <f t="shared" si="21"/>
        <v>2661</v>
      </c>
      <c r="C195" s="1">
        <f>182+23+6+1+1</f>
        <v>213</v>
      </c>
      <c r="D195" s="1">
        <f>194+39+15+2+1</f>
        <v>251</v>
      </c>
      <c r="E195" s="1">
        <f>615+69+29+2+1</f>
        <v>716</v>
      </c>
      <c r="G195" s="1">
        <f>247+22+20+2+3</f>
        <v>294</v>
      </c>
      <c r="H195" s="1">
        <f>175+28+17+1</f>
        <v>221</v>
      </c>
      <c r="I195" s="1">
        <f>132+21+21+2+7</f>
        <v>183</v>
      </c>
      <c r="K195" s="1">
        <f>147+48+16+2+3</f>
        <v>216</v>
      </c>
      <c r="L195" s="1">
        <f>301+40+30+3+4</f>
        <v>378</v>
      </c>
      <c r="M195" s="1">
        <f>147+20+17+3+2</f>
        <v>189</v>
      </c>
    </row>
    <row r="196" spans="1:13" x14ac:dyDescent="0.25">
      <c r="A196" s="1" t="s">
        <v>132</v>
      </c>
      <c r="B196" s="1">
        <f t="shared" si="21"/>
        <v>2562</v>
      </c>
      <c r="C196" s="1">
        <f>193+24+6+1+1</f>
        <v>225</v>
      </c>
      <c r="D196" s="1">
        <f>190+43+17+2+1</f>
        <v>253</v>
      </c>
      <c r="E196" s="1">
        <f>570+62+27+3+3</f>
        <v>665</v>
      </c>
      <c r="G196" s="1">
        <f>260+22+23+3+3</f>
        <v>311</v>
      </c>
      <c r="H196" s="1">
        <f>165+19+17+1</f>
        <v>202</v>
      </c>
      <c r="I196" s="1">
        <f>128+17+17+1+9</f>
        <v>172</v>
      </c>
      <c r="K196" s="1">
        <f>135+40+21+2+3</f>
        <v>201</v>
      </c>
      <c r="L196" s="1">
        <f>266+42+34+2+4</f>
        <v>348</v>
      </c>
      <c r="M196" s="1">
        <f>150+19+12+2+2</f>
        <v>185</v>
      </c>
    </row>
    <row r="197" spans="1:13" x14ac:dyDescent="0.25">
      <c r="A197" s="1" t="s">
        <v>133</v>
      </c>
      <c r="B197" s="1">
        <f t="shared" si="21"/>
        <v>2594</v>
      </c>
      <c r="C197" s="1">
        <f>192+27+4+1+1</f>
        <v>225</v>
      </c>
      <c r="D197" s="1">
        <f>197+44+15+2+1</f>
        <v>259</v>
      </c>
      <c r="E197" s="1">
        <f>581+55+28+2+1</f>
        <v>667</v>
      </c>
      <c r="G197" s="1">
        <f>272+30+22+3+4</f>
        <v>331</v>
      </c>
      <c r="H197" s="1">
        <f>157+17+20+1</f>
        <v>195</v>
      </c>
      <c r="I197" s="1">
        <f>120+23+14+2+8</f>
        <v>167</v>
      </c>
      <c r="K197" s="1">
        <f>139+43+20+2+4</f>
        <v>208</v>
      </c>
      <c r="L197" s="1">
        <f>280+38+31+2+4</f>
        <v>355</v>
      </c>
      <c r="M197" s="1">
        <f>149+22+13+2+1</f>
        <v>187</v>
      </c>
    </row>
    <row r="198" spans="1:13" x14ac:dyDescent="0.25">
      <c r="A198" s="1" t="s">
        <v>134</v>
      </c>
      <c r="B198" s="1">
        <f t="shared" ref="B198:B206" si="22">C198+D198+E198+G198+H198+I198+K198+L198+M198</f>
        <v>2624</v>
      </c>
      <c r="C198" s="1">
        <f>185+27+9+3+1</f>
        <v>225</v>
      </c>
      <c r="D198" s="1">
        <f>212+45+17+2+2</f>
        <v>278</v>
      </c>
      <c r="E198" s="1">
        <f>603+61+32+2+2</f>
        <v>700</v>
      </c>
      <c r="G198" s="1">
        <f>237+37+18+3+4</f>
        <v>299</v>
      </c>
      <c r="H198" s="1">
        <f>167+17+16+1</f>
        <v>201</v>
      </c>
      <c r="I198" s="1">
        <f>125+27+14+2+8</f>
        <v>176</v>
      </c>
      <c r="K198" s="1">
        <f>134+40+18+2+4</f>
        <v>198</v>
      </c>
      <c r="L198" s="1">
        <f>290+37+27+2+4</f>
        <v>360</v>
      </c>
      <c r="M198" s="1">
        <f>151+23+11+1+1</f>
        <v>187</v>
      </c>
    </row>
    <row r="199" spans="1:13" x14ac:dyDescent="0.25">
      <c r="A199" s="1" t="s">
        <v>135</v>
      </c>
      <c r="B199" s="1">
        <f t="shared" si="22"/>
        <v>2582</v>
      </c>
      <c r="C199" s="1">
        <f>180+25+10+3+1</f>
        <v>219</v>
      </c>
      <c r="D199" s="1">
        <f>200+41+20+2+3</f>
        <v>266</v>
      </c>
      <c r="E199" s="1">
        <f>588+65+34+2+2</f>
        <v>691</v>
      </c>
      <c r="G199" s="1">
        <f>235+38+17+3+4</f>
        <v>297</v>
      </c>
      <c r="H199" s="1">
        <f>157+16+17+1</f>
        <v>191</v>
      </c>
      <c r="I199" s="1">
        <f>123+28+13+2+8</f>
        <v>174</v>
      </c>
      <c r="K199" s="1">
        <f>139+40+17+2+4</f>
        <v>202</v>
      </c>
      <c r="L199" s="1">
        <f>282+37+28+1+4</f>
        <v>352</v>
      </c>
      <c r="M199" s="1">
        <f>154+24+10+1+1</f>
        <v>190</v>
      </c>
    </row>
    <row r="200" spans="1:13" x14ac:dyDescent="0.25">
      <c r="A200" s="1" t="s">
        <v>138</v>
      </c>
      <c r="B200" s="1">
        <f t="shared" si="22"/>
        <v>2231</v>
      </c>
      <c r="C200" s="1">
        <f>165+18+8+1+2</f>
        <v>194</v>
      </c>
      <c r="D200" s="1">
        <f>186+35+20+2+2</f>
        <v>245</v>
      </c>
      <c r="E200" s="1">
        <f>490+50+28+3+1</f>
        <v>572</v>
      </c>
      <c r="G200" s="1">
        <f>220+22+9+1+4</f>
        <v>256</v>
      </c>
      <c r="H200" s="1">
        <f>123+10+12</f>
        <v>145</v>
      </c>
      <c r="I200" s="1">
        <f>116+18+15+2+5</f>
        <v>156</v>
      </c>
      <c r="K200" s="1">
        <f>116+47+13+2+3</f>
        <v>181</v>
      </c>
      <c r="L200" s="1">
        <f>245+38+25+2+3</f>
        <v>313</v>
      </c>
      <c r="M200" s="1">
        <f>133+23+11+1+1</f>
        <v>169</v>
      </c>
    </row>
    <row r="201" spans="1:13" x14ac:dyDescent="0.25">
      <c r="A201" s="1" t="s">
        <v>140</v>
      </c>
      <c r="B201" s="1">
        <f t="shared" si="22"/>
        <v>2161</v>
      </c>
      <c r="C201" s="1">
        <f>137+13+13+1+2</f>
        <v>166</v>
      </c>
      <c r="D201" s="1">
        <f>145+25+30+3+4</f>
        <v>207</v>
      </c>
      <c r="E201" s="1">
        <f>506+39+39+1+2</f>
        <v>587</v>
      </c>
      <c r="G201" s="1">
        <f>191+19+18+2</f>
        <v>230</v>
      </c>
      <c r="H201" s="1">
        <f>128+13+15+3+1</f>
        <v>160</v>
      </c>
      <c r="I201" s="1">
        <f>110+17+20+2+6</f>
        <v>155</v>
      </c>
      <c r="K201" s="1">
        <f>109+42+20+2+4</f>
        <v>177</v>
      </c>
      <c r="L201" s="1">
        <f>238+32+24+5+3</f>
        <v>302</v>
      </c>
      <c r="M201" s="1">
        <f>133+24+18+1+1</f>
        <v>177</v>
      </c>
    </row>
    <row r="202" spans="1:13" x14ac:dyDescent="0.25">
      <c r="A202" s="1" t="s">
        <v>141</v>
      </c>
      <c r="B202" s="1">
        <f t="shared" si="22"/>
        <v>1828</v>
      </c>
      <c r="C202" s="1">
        <f>113+11+11+1+2</f>
        <v>138</v>
      </c>
      <c r="D202" s="1">
        <f>149+24+26+3+4</f>
        <v>206</v>
      </c>
      <c r="E202" s="1">
        <f>401+38+31+1+1</f>
        <v>472</v>
      </c>
      <c r="G202" s="1">
        <f>166+15+13+2</f>
        <v>196</v>
      </c>
      <c r="H202" s="1">
        <f>112+10+13+4+1</f>
        <v>140</v>
      </c>
      <c r="I202" s="1">
        <f>98+16+17+2+8</f>
        <v>141</v>
      </c>
      <c r="K202" s="1">
        <f>90+33+18+2+2</f>
        <v>145</v>
      </c>
      <c r="L202" s="1">
        <f>199+32+21+5+3</f>
        <v>260</v>
      </c>
      <c r="M202" s="1">
        <f>91+18+19+1+1</f>
        <v>130</v>
      </c>
    </row>
    <row r="203" spans="1:13" x14ac:dyDescent="0.25">
      <c r="A203" s="1" t="s">
        <v>142</v>
      </c>
      <c r="B203" s="1">
        <f t="shared" si="22"/>
        <v>2263</v>
      </c>
      <c r="C203" s="1">
        <f>162+10+5+2</f>
        <v>179</v>
      </c>
      <c r="D203" s="1">
        <f>157+26+20+1+3</f>
        <v>207</v>
      </c>
      <c r="E203" s="1">
        <f>567+68+21+1+1</f>
        <v>658</v>
      </c>
      <c r="G203" s="1">
        <f>202+16+20+1+1</f>
        <v>240</v>
      </c>
      <c r="H203" s="1">
        <f>129+8+15+1</f>
        <v>153</v>
      </c>
      <c r="I203" s="1">
        <f>119+16+10+2+5</f>
        <v>152</v>
      </c>
      <c r="K203" s="1">
        <f>131+33+15+2</f>
        <v>181</v>
      </c>
      <c r="L203" s="1">
        <f>278+34+18+1+2</f>
        <v>333</v>
      </c>
      <c r="M203" s="1">
        <f>123+18+18+1</f>
        <v>160</v>
      </c>
    </row>
    <row r="204" spans="1:13" x14ac:dyDescent="0.25">
      <c r="A204" s="1" t="s">
        <v>144</v>
      </c>
      <c r="B204" s="1">
        <f t="shared" si="22"/>
        <v>2236</v>
      </c>
      <c r="C204" s="1">
        <f>189+15+10+2</f>
        <v>216</v>
      </c>
      <c r="D204" s="1">
        <f>168+26+17+2+3</f>
        <v>216</v>
      </c>
      <c r="E204" s="1">
        <f>526+49+21+2+1</f>
        <v>599</v>
      </c>
      <c r="G204" s="1">
        <f>210+16+17+1</f>
        <v>244</v>
      </c>
      <c r="H204" s="1">
        <f>139+9+18+1+1</f>
        <v>168</v>
      </c>
      <c r="I204" s="1">
        <f>121+18+14+3+4</f>
        <v>160</v>
      </c>
      <c r="K204" s="1">
        <f>113+34+18+2</f>
        <v>167</v>
      </c>
      <c r="L204" s="1">
        <f>249+34+17+1+2</f>
        <v>303</v>
      </c>
      <c r="M204" s="1">
        <f>124+17+19+1+2</f>
        <v>163</v>
      </c>
    </row>
    <row r="205" spans="1:13" x14ac:dyDescent="0.25">
      <c r="A205" s="1" t="s">
        <v>148</v>
      </c>
      <c r="B205" s="1">
        <f t="shared" si="22"/>
        <v>2253</v>
      </c>
      <c r="C205" s="1">
        <f>176+10+5+3</f>
        <v>194</v>
      </c>
      <c r="D205" s="1">
        <f>167+23+19+2+2</f>
        <v>213</v>
      </c>
      <c r="E205" s="1">
        <f>507+61+31+1+1</f>
        <v>601</v>
      </c>
      <c r="G205" s="1">
        <f>225+15+20+1+1</f>
        <v>262</v>
      </c>
      <c r="H205" s="1">
        <f>143+12+12+1+2</f>
        <v>170</v>
      </c>
      <c r="I205" s="1">
        <f>126+16+20+3+6</f>
        <v>171</v>
      </c>
      <c r="K205" s="1">
        <f>112+36+20+1+1</f>
        <v>170</v>
      </c>
      <c r="L205" s="1">
        <f>248+37+9+1+2</f>
        <v>297</v>
      </c>
      <c r="M205" s="1">
        <f>136+21+15+1+2</f>
        <v>175</v>
      </c>
    </row>
    <row r="206" spans="1:13" x14ac:dyDescent="0.25">
      <c r="A206" s="1" t="s">
        <v>151</v>
      </c>
      <c r="B206" s="1">
        <f t="shared" si="22"/>
        <v>2221</v>
      </c>
      <c r="C206" s="1">
        <f>167+14+7+1+3</f>
        <v>192</v>
      </c>
      <c r="D206" s="1">
        <f>166+26+21+2+1</f>
        <v>216</v>
      </c>
      <c r="E206" s="1">
        <f>509+59+21+1+1</f>
        <v>591</v>
      </c>
      <c r="G206" s="1">
        <f>212+18+21+1</f>
        <v>252</v>
      </c>
      <c r="H206" s="1">
        <f>136+15+15+1+5</f>
        <v>172</v>
      </c>
      <c r="I206" s="1">
        <f>119+15+16+6+9</f>
        <v>165</v>
      </c>
      <c r="K206" s="1">
        <f>116+30+22+1</f>
        <v>169</v>
      </c>
      <c r="L206" s="1">
        <f>251+25+20+1+3</f>
        <v>300</v>
      </c>
      <c r="M206" s="1">
        <f>124+20+16+1+3</f>
        <v>164</v>
      </c>
    </row>
    <row r="213" spans="1:12" x14ac:dyDescent="0.25">
      <c r="B213" s="1" t="s">
        <v>36</v>
      </c>
      <c r="C213" s="2" t="s">
        <v>37</v>
      </c>
      <c r="D213" s="1" t="s">
        <v>2</v>
      </c>
      <c r="G213" s="1" t="s">
        <v>38</v>
      </c>
      <c r="H213" s="1" t="s">
        <v>2</v>
      </c>
      <c r="K213" s="1" t="s">
        <v>39</v>
      </c>
      <c r="L213" s="1" t="s">
        <v>2</v>
      </c>
    </row>
    <row r="214" spans="1:12" x14ac:dyDescent="0.25">
      <c r="A214" s="1" t="s">
        <v>5</v>
      </c>
      <c r="B214" s="3" t="s">
        <v>40</v>
      </c>
      <c r="C214" s="1">
        <f>208+239+279+156+100</f>
        <v>982</v>
      </c>
      <c r="D214" s="1">
        <v>30000</v>
      </c>
      <c r="G214" s="1">
        <f>68+88+97+68+36</f>
        <v>357</v>
      </c>
      <c r="H214" s="1">
        <v>25000</v>
      </c>
      <c r="K214" s="2" t="s">
        <v>41</v>
      </c>
      <c r="L214" s="1">
        <v>9400</v>
      </c>
    </row>
    <row r="215" spans="1:12" x14ac:dyDescent="0.25">
      <c r="A215" s="1" t="s">
        <v>6</v>
      </c>
      <c r="B215" s="3" t="s">
        <v>42</v>
      </c>
      <c r="C215" s="1">
        <f>184+180+229+125+79</f>
        <v>797</v>
      </c>
      <c r="D215" s="1">
        <v>33400</v>
      </c>
      <c r="G215" s="1">
        <f>61+64+79+48+34</f>
        <v>286</v>
      </c>
      <c r="H215" s="1">
        <v>30000</v>
      </c>
      <c r="K215" s="1" t="s">
        <v>41</v>
      </c>
      <c r="L215" s="1">
        <v>9552</v>
      </c>
    </row>
    <row r="216" spans="1:12" x14ac:dyDescent="0.25">
      <c r="A216" s="1" t="s">
        <v>7</v>
      </c>
      <c r="B216" s="3" t="s">
        <v>43</v>
      </c>
      <c r="C216" s="1">
        <f>258+265+295+155+95</f>
        <v>1068</v>
      </c>
      <c r="D216" s="1">
        <v>30000</v>
      </c>
      <c r="G216" s="1">
        <f>75+83+105+71+45</f>
        <v>379</v>
      </c>
      <c r="H216" s="1">
        <v>28000</v>
      </c>
      <c r="K216" s="1" t="s">
        <v>41</v>
      </c>
      <c r="L216" s="1">
        <v>8986</v>
      </c>
    </row>
    <row r="217" spans="1:12" x14ac:dyDescent="0.25">
      <c r="A217" s="1" t="s">
        <v>8</v>
      </c>
      <c r="B217" s="3" t="s">
        <v>44</v>
      </c>
      <c r="C217" s="1">
        <f>272+277+302+170+110</f>
        <v>1131</v>
      </c>
      <c r="D217" s="1">
        <v>28000</v>
      </c>
      <c r="G217" s="1">
        <f>82+91+130+75+47</f>
        <v>425</v>
      </c>
      <c r="H217" s="1">
        <v>25000</v>
      </c>
      <c r="K217" s="1" t="s">
        <v>41</v>
      </c>
      <c r="L217" s="1">
        <v>8599</v>
      </c>
    </row>
    <row r="218" spans="1:12" x14ac:dyDescent="0.25">
      <c r="A218" s="1" t="s">
        <v>9</v>
      </c>
      <c r="B218" s="3" t="s">
        <v>45</v>
      </c>
      <c r="C218" s="1">
        <f>278+299+319+168+110</f>
        <v>1174</v>
      </c>
      <c r="D218" s="1">
        <v>26000</v>
      </c>
      <c r="G218" s="1">
        <f>85+89+129+74+46</f>
        <v>423</v>
      </c>
      <c r="H218" s="1">
        <v>23333</v>
      </c>
      <c r="K218" s="1" t="s">
        <v>41</v>
      </c>
      <c r="L218" s="1">
        <v>8577</v>
      </c>
    </row>
    <row r="219" spans="1:12" x14ac:dyDescent="0.25">
      <c r="A219" s="1" t="s">
        <v>10</v>
      </c>
      <c r="B219" s="3" t="s">
        <v>46</v>
      </c>
      <c r="C219" s="1">
        <f>281+291+314+167+108</f>
        <v>1161</v>
      </c>
      <c r="D219" s="1">
        <v>14999</v>
      </c>
      <c r="G219" s="1">
        <f>86+97+130+63+52</f>
        <v>428</v>
      </c>
      <c r="H219" s="1">
        <v>14500</v>
      </c>
      <c r="K219" s="1" t="s">
        <v>41</v>
      </c>
      <c r="L219" s="1">
        <v>6400</v>
      </c>
    </row>
    <row r="220" spans="1:12" x14ac:dyDescent="0.25">
      <c r="A220" s="1" t="s">
        <v>11</v>
      </c>
      <c r="B220" s="3" t="s">
        <v>47</v>
      </c>
      <c r="C220" s="1">
        <f>272+253+277+150+97</f>
        <v>1049</v>
      </c>
      <c r="D220" s="1">
        <v>19200</v>
      </c>
      <c r="G220" s="1">
        <f>93+95+114+56+50</f>
        <v>408</v>
      </c>
      <c r="H220" s="1">
        <v>16888</v>
      </c>
      <c r="K220" s="1" t="s">
        <v>41</v>
      </c>
      <c r="L220" s="1">
        <v>7030</v>
      </c>
    </row>
    <row r="221" spans="1:12" x14ac:dyDescent="0.25">
      <c r="A221" s="1" t="s">
        <v>12</v>
      </c>
      <c r="B221" s="3" t="s">
        <v>48</v>
      </c>
      <c r="C221" s="1">
        <f>275+275+275+144+109</f>
        <v>1078</v>
      </c>
      <c r="D221" s="1">
        <v>17999</v>
      </c>
      <c r="G221" s="1">
        <f>92+97+113+55+48</f>
        <v>405</v>
      </c>
      <c r="H221" s="1">
        <v>15800</v>
      </c>
      <c r="K221" s="1" t="s">
        <v>41</v>
      </c>
      <c r="L221" s="1">
        <v>6750</v>
      </c>
    </row>
    <row r="222" spans="1:12" x14ac:dyDescent="0.25">
      <c r="A222" s="1" t="s">
        <v>13</v>
      </c>
      <c r="B222" s="3" t="s">
        <v>49</v>
      </c>
      <c r="C222" s="1">
        <f>285+280+261+143+96</f>
        <v>1065</v>
      </c>
      <c r="D222" s="1">
        <v>17000</v>
      </c>
      <c r="G222" s="1">
        <f>82+98+109+47+44</f>
        <v>380</v>
      </c>
      <c r="H222" s="1">
        <v>15969</v>
      </c>
      <c r="K222" s="1" t="s">
        <v>41</v>
      </c>
      <c r="L222" s="1">
        <v>6549</v>
      </c>
    </row>
    <row r="223" spans="1:12" x14ac:dyDescent="0.25">
      <c r="A223" s="1" t="s">
        <v>14</v>
      </c>
      <c r="B223" s="3" t="s">
        <v>50</v>
      </c>
      <c r="C223" s="1">
        <f>297+270+257+139+102</f>
        <v>1065</v>
      </c>
      <c r="D223" s="1">
        <v>16620</v>
      </c>
      <c r="G223" s="1">
        <f>86+94+110+45+40</f>
        <v>375</v>
      </c>
      <c r="H223" s="1">
        <v>15920</v>
      </c>
      <c r="K223" s="1" t="s">
        <v>41</v>
      </c>
      <c r="L223" s="1">
        <v>6777</v>
      </c>
    </row>
    <row r="224" spans="1:12" x14ac:dyDescent="0.25">
      <c r="A224" s="1" t="s">
        <v>69</v>
      </c>
      <c r="B224" s="3" t="s">
        <v>71</v>
      </c>
      <c r="C224" s="1">
        <f>301+267+266+143+99</f>
        <v>1076</v>
      </c>
      <c r="D224" s="1">
        <v>15948</v>
      </c>
      <c r="G224" s="1">
        <f>82+97+116+52+44</f>
        <v>391</v>
      </c>
      <c r="H224" s="1">
        <v>15944</v>
      </c>
      <c r="K224" s="1" t="s">
        <v>70</v>
      </c>
      <c r="L224" s="1">
        <v>6066</v>
      </c>
    </row>
    <row r="225" spans="1:12" x14ac:dyDescent="0.25">
      <c r="A225" s="1" t="s">
        <v>76</v>
      </c>
      <c r="B225" s="3" t="s">
        <v>78</v>
      </c>
      <c r="C225" s="1">
        <f>284+243+257+131+82</f>
        <v>997</v>
      </c>
      <c r="D225" s="1">
        <v>14300</v>
      </c>
      <c r="G225" s="1">
        <f>88+93+106+45+34</f>
        <v>366</v>
      </c>
      <c r="H225" s="1">
        <v>17395</v>
      </c>
      <c r="K225" s="1" t="s">
        <v>77</v>
      </c>
      <c r="L225" s="1">
        <v>5300</v>
      </c>
    </row>
    <row r="226" spans="1:12" x14ac:dyDescent="0.25">
      <c r="A226" s="1" t="s">
        <v>103</v>
      </c>
      <c r="B226" s="3" t="s">
        <v>115</v>
      </c>
      <c r="C226" s="1">
        <f>292+241+256+131+84</f>
        <v>1004</v>
      </c>
      <c r="D226" s="1">
        <v>13850</v>
      </c>
      <c r="G226" s="1">
        <f>88+98+113+49+36</f>
        <v>384</v>
      </c>
      <c r="H226" s="1">
        <v>17599</v>
      </c>
      <c r="K226" s="1" t="s">
        <v>114</v>
      </c>
      <c r="L226" s="1">
        <v>5169</v>
      </c>
    </row>
    <row r="227" spans="1:12" x14ac:dyDescent="0.25">
      <c r="A227" s="1" t="s">
        <v>118</v>
      </c>
      <c r="B227" s="3" t="s">
        <v>120</v>
      </c>
      <c r="C227" s="1">
        <f>279+205+228+128+67</f>
        <v>907</v>
      </c>
      <c r="D227" s="1">
        <v>10888</v>
      </c>
      <c r="G227" s="1">
        <f>88+101+102+42+34</f>
        <v>367</v>
      </c>
      <c r="H227" s="1">
        <v>15140</v>
      </c>
      <c r="K227" s="1" t="s">
        <v>119</v>
      </c>
      <c r="L227" s="1">
        <v>4189</v>
      </c>
    </row>
    <row r="228" spans="1:12" x14ac:dyDescent="0.25">
      <c r="A228" s="1" t="s">
        <v>122</v>
      </c>
      <c r="B228" s="3" t="s">
        <v>124</v>
      </c>
      <c r="C228" s="1">
        <f>259+178+203+112+65</f>
        <v>817</v>
      </c>
      <c r="D228" s="1">
        <v>11987</v>
      </c>
      <c r="G228" s="1">
        <f>82+94+97+42+37</f>
        <v>352</v>
      </c>
      <c r="H228" s="1">
        <v>16479</v>
      </c>
      <c r="K228" s="1" t="s">
        <v>123</v>
      </c>
      <c r="L228" s="1">
        <v>4315</v>
      </c>
    </row>
    <row r="229" spans="1:12" x14ac:dyDescent="0.25">
      <c r="A229" s="1" t="s">
        <v>128</v>
      </c>
      <c r="B229" s="3">
        <f t="shared" ref="B229:B234" si="23">C229+G229+K229</f>
        <v>2483</v>
      </c>
      <c r="C229" s="1">
        <f>265+197+208+104+55</f>
        <v>829</v>
      </c>
      <c r="D229" s="1">
        <v>11700</v>
      </c>
      <c r="G229" s="1">
        <f>83+93+82+42+32</f>
        <v>332</v>
      </c>
      <c r="H229" s="1">
        <v>16375</v>
      </c>
      <c r="K229" s="1">
        <v>1322</v>
      </c>
      <c r="L229" s="1">
        <v>4410</v>
      </c>
    </row>
    <row r="230" spans="1:12" x14ac:dyDescent="0.25">
      <c r="A230" s="1" t="s">
        <v>130</v>
      </c>
      <c r="B230" s="3">
        <f t="shared" si="23"/>
        <v>2648</v>
      </c>
      <c r="C230" s="1">
        <f>277+190+204+111+66</f>
        <v>848</v>
      </c>
      <c r="D230" s="1">
        <v>12000</v>
      </c>
      <c r="G230" s="1">
        <f>96+106+91+51+33</f>
        <v>377</v>
      </c>
      <c r="H230" s="1">
        <v>15897</v>
      </c>
      <c r="K230" s="1">
        <f>1384+39</f>
        <v>1423</v>
      </c>
      <c r="L230" s="1">
        <v>4498</v>
      </c>
    </row>
    <row r="231" spans="1:12" x14ac:dyDescent="0.25">
      <c r="A231" s="1" t="s">
        <v>131</v>
      </c>
      <c r="B231" s="3">
        <f t="shared" si="23"/>
        <v>2568</v>
      </c>
      <c r="C231" s="1">
        <f>259+204+192+117+70</f>
        <v>842</v>
      </c>
      <c r="D231" s="1">
        <v>11650</v>
      </c>
      <c r="G231" s="1">
        <f>103+90+85+49+34</f>
        <v>361</v>
      </c>
      <c r="H231" s="1">
        <v>15800</v>
      </c>
      <c r="K231" s="1">
        <v>1365</v>
      </c>
      <c r="L231" s="1">
        <v>4399</v>
      </c>
    </row>
    <row r="232" spans="1:12" x14ac:dyDescent="0.25">
      <c r="A232" s="1" t="s">
        <v>132</v>
      </c>
      <c r="B232" s="3">
        <f t="shared" si="23"/>
        <v>2610</v>
      </c>
      <c r="C232" s="1">
        <f>267+206+194+118+69</f>
        <v>854</v>
      </c>
      <c r="D232" s="1">
        <v>11200</v>
      </c>
      <c r="G232" s="1">
        <f>94+93+88+46+32</f>
        <v>353</v>
      </c>
      <c r="H232" s="1">
        <v>15500</v>
      </c>
      <c r="K232" s="1">
        <v>1403</v>
      </c>
      <c r="L232" s="1">
        <v>4350</v>
      </c>
    </row>
    <row r="233" spans="1:12" x14ac:dyDescent="0.25">
      <c r="A233" s="1" t="s">
        <v>133</v>
      </c>
      <c r="B233" s="3">
        <f t="shared" si="23"/>
        <v>2493</v>
      </c>
      <c r="C233" s="1">
        <f>267+208+200+92+70</f>
        <v>837</v>
      </c>
      <c r="D233" s="1">
        <v>10777</v>
      </c>
      <c r="G233" s="1">
        <f>102+98+97+47+30</f>
        <v>374</v>
      </c>
      <c r="H233" s="1">
        <v>15550</v>
      </c>
      <c r="K233" s="1">
        <v>1282</v>
      </c>
      <c r="L233" s="1">
        <v>4480</v>
      </c>
    </row>
    <row r="234" spans="1:12" x14ac:dyDescent="0.25">
      <c r="A234" s="1" t="s">
        <v>134</v>
      </c>
      <c r="B234" s="3">
        <f t="shared" si="23"/>
        <v>2545</v>
      </c>
      <c r="C234" s="1">
        <f>252+196+193+108+86</f>
        <v>835</v>
      </c>
      <c r="D234" s="1">
        <v>10440</v>
      </c>
      <c r="G234" s="1">
        <f>94+94+93+55+33</f>
        <v>369</v>
      </c>
      <c r="H234" s="1">
        <v>15600</v>
      </c>
      <c r="K234" s="1">
        <f>1296+45</f>
        <v>1341</v>
      </c>
      <c r="L234" s="1">
        <v>4423</v>
      </c>
    </row>
    <row r="235" spans="1:12" x14ac:dyDescent="0.25">
      <c r="A235" s="1" t="s">
        <v>136</v>
      </c>
      <c r="B235" s="3">
        <f>C235+G235+K235</f>
        <v>2427</v>
      </c>
      <c r="C235" s="1">
        <f>254+192+187+97+81</f>
        <v>811</v>
      </c>
      <c r="D235" s="1">
        <v>10500</v>
      </c>
      <c r="G235" s="1">
        <f>93+98+90+48+31</f>
        <v>360</v>
      </c>
      <c r="H235" s="1">
        <v>15750</v>
      </c>
      <c r="K235" s="1">
        <v>1256</v>
      </c>
      <c r="L235" s="1">
        <v>4360</v>
      </c>
    </row>
    <row r="236" spans="1:12" x14ac:dyDescent="0.25">
      <c r="A236" s="1" t="s">
        <v>138</v>
      </c>
      <c r="B236" s="3">
        <f>C236+G236+K236</f>
        <v>2085</v>
      </c>
      <c r="C236" s="1">
        <f>249+177+159+81+70</f>
        <v>736</v>
      </c>
      <c r="D236" s="1">
        <v>10550</v>
      </c>
      <c r="G236" s="1">
        <f>86+60+64+37+27</f>
        <v>274</v>
      </c>
      <c r="H236" s="1">
        <v>15800</v>
      </c>
      <c r="K236" s="1">
        <f>1050+25</f>
        <v>1075</v>
      </c>
      <c r="L236" s="1">
        <v>4559</v>
      </c>
    </row>
    <row r="237" spans="1:12" x14ac:dyDescent="0.25">
      <c r="A237" s="1" t="s">
        <v>140</v>
      </c>
      <c r="B237" s="3">
        <f>C237+G237+K237</f>
        <v>2045</v>
      </c>
      <c r="C237" s="1">
        <f>252+166+136+98+62</f>
        <v>714</v>
      </c>
      <c r="D237" s="1">
        <v>10700</v>
      </c>
      <c r="G237" s="1">
        <f>102+65+71+35+31</f>
        <v>304</v>
      </c>
      <c r="H237" s="1">
        <v>15700</v>
      </c>
      <c r="K237" s="1">
        <f>992+35</f>
        <v>1027</v>
      </c>
      <c r="L237" s="1">
        <v>4720</v>
      </c>
    </row>
    <row r="238" spans="1:12" x14ac:dyDescent="0.25">
      <c r="A238" s="1" t="s">
        <v>141</v>
      </c>
      <c r="B238" s="3">
        <f>C238+G238+K238</f>
        <v>1947</v>
      </c>
      <c r="C238" s="1">
        <f>230+156+123+82+60</f>
        <v>651</v>
      </c>
      <c r="D238" s="1">
        <v>10800</v>
      </c>
      <c r="G238" s="1">
        <f>105+67+72+32+29</f>
        <v>305</v>
      </c>
      <c r="H238" s="1">
        <v>15664</v>
      </c>
      <c r="K238" s="1">
        <f>955+36</f>
        <v>991</v>
      </c>
      <c r="L238" s="1">
        <v>4850</v>
      </c>
    </row>
    <row r="239" spans="1:12" x14ac:dyDescent="0.25">
      <c r="A239" s="1" t="s">
        <v>142</v>
      </c>
      <c r="B239" s="3">
        <f>C239+G239+K239</f>
        <v>2332</v>
      </c>
      <c r="C239" s="1">
        <f>292+177+162+96+64</f>
        <v>791</v>
      </c>
      <c r="D239" s="1">
        <v>9999</v>
      </c>
      <c r="G239" s="1">
        <f>118+79+85+48+30</f>
        <v>360</v>
      </c>
      <c r="H239" s="1">
        <v>14880</v>
      </c>
      <c r="K239" s="1">
        <f>1146+35</f>
        <v>1181</v>
      </c>
      <c r="L239" s="1">
        <v>4550</v>
      </c>
    </row>
    <row r="240" spans="1:12" x14ac:dyDescent="0.25">
      <c r="A240" s="1" t="s">
        <v>144</v>
      </c>
      <c r="B240" s="3" t="s">
        <v>147</v>
      </c>
      <c r="C240" s="1">
        <f>287+169+162+101+74</f>
        <v>793</v>
      </c>
      <c r="D240" s="1">
        <v>9595</v>
      </c>
      <c r="G240" s="1">
        <f>110+80+79+52+31</f>
        <v>352</v>
      </c>
      <c r="H240" s="1">
        <v>14939</v>
      </c>
      <c r="K240" s="1" t="s">
        <v>146</v>
      </c>
      <c r="L240" s="1">
        <v>4634</v>
      </c>
    </row>
    <row r="241" spans="1:12" x14ac:dyDescent="0.25">
      <c r="A241" s="1" t="s">
        <v>148</v>
      </c>
      <c r="B241" s="3" t="s">
        <v>150</v>
      </c>
      <c r="C241" s="1">
        <f>267+146+161+102+76</f>
        <v>752</v>
      </c>
      <c r="D241" s="1">
        <v>9200</v>
      </c>
      <c r="G241" s="1">
        <f>109+74+77+50+36</f>
        <v>346</v>
      </c>
      <c r="H241" s="1">
        <v>14349</v>
      </c>
      <c r="K241" s="1" t="s">
        <v>149</v>
      </c>
      <c r="L241" s="1">
        <v>4500</v>
      </c>
    </row>
    <row r="242" spans="1:12" x14ac:dyDescent="0.25">
      <c r="A242" s="1" t="s">
        <v>151</v>
      </c>
      <c r="B242" s="3" t="s">
        <v>152</v>
      </c>
      <c r="C242" s="1">
        <f>253+174+148+95+74</f>
        <v>744</v>
      </c>
      <c r="D242" s="1">
        <v>8900</v>
      </c>
      <c r="G242" s="1">
        <f>109+68+95+47+36</f>
        <v>355</v>
      </c>
      <c r="H242" s="1">
        <v>13450</v>
      </c>
      <c r="K242" s="1" t="s">
        <v>70</v>
      </c>
      <c r="L242" s="1">
        <v>4549</v>
      </c>
    </row>
    <row r="243" spans="1:12" x14ac:dyDescent="0.25">
      <c r="B243" s="3"/>
    </row>
    <row r="244" spans="1:12" x14ac:dyDescent="0.25">
      <c r="B244" s="3"/>
    </row>
    <row r="245" spans="1:12" x14ac:dyDescent="0.25">
      <c r="B245" s="3"/>
    </row>
    <row r="246" spans="1:12" x14ac:dyDescent="0.25">
      <c r="B246" s="3"/>
    </row>
    <row r="247" spans="1:12" x14ac:dyDescent="0.25">
      <c r="B247" s="3"/>
    </row>
    <row r="248" spans="1:12" x14ac:dyDescent="0.25">
      <c r="B248" s="3"/>
    </row>
    <row r="249" spans="1:12" x14ac:dyDescent="0.25">
      <c r="B249" s="1" t="s">
        <v>51</v>
      </c>
      <c r="C249" s="2" t="s">
        <v>127</v>
      </c>
      <c r="D249" s="1" t="s">
        <v>52</v>
      </c>
      <c r="G249" s="2" t="s">
        <v>53</v>
      </c>
      <c r="H249" s="1" t="s">
        <v>54</v>
      </c>
      <c r="K249" s="2" t="s">
        <v>126</v>
      </c>
      <c r="L249" s="1" t="s">
        <v>55</v>
      </c>
    </row>
    <row r="250" spans="1:12" x14ac:dyDescent="0.25">
      <c r="A250" s="1" t="s">
        <v>5</v>
      </c>
      <c r="B250" s="1">
        <f>C250+D250+G250+H250+K250+L250</f>
        <v>5107</v>
      </c>
      <c r="C250" s="2">
        <f>939+354+264+24+28</f>
        <v>1609</v>
      </c>
      <c r="D250" s="1">
        <f>273+163+215+79+66</f>
        <v>796</v>
      </c>
      <c r="G250" s="2">
        <f>250+210+178+44+71</f>
        <v>753</v>
      </c>
      <c r="H250" s="1">
        <f>147+46+95+47+27</f>
        <v>362</v>
      </c>
      <c r="K250" s="1">
        <f>828+29</f>
        <v>857</v>
      </c>
      <c r="L250" s="1">
        <f>374+167+152+20+17</f>
        <v>730</v>
      </c>
    </row>
    <row r="251" spans="1:12" x14ac:dyDescent="0.25">
      <c r="A251" s="1" t="s">
        <v>6</v>
      </c>
      <c r="B251" s="1">
        <f>C251+D251+G251+H251+K251+L251</f>
        <v>3744</v>
      </c>
      <c r="C251" s="1">
        <f>601+217+189+12+23</f>
        <v>1042</v>
      </c>
      <c r="D251" s="1">
        <f>196+109+157+62+46</f>
        <v>570</v>
      </c>
      <c r="G251" s="1">
        <f>198+123+121+36+57</f>
        <v>535</v>
      </c>
      <c r="H251" s="1">
        <f>98+38+67+21+23</f>
        <v>247</v>
      </c>
      <c r="K251" s="1">
        <f>703+23</f>
        <v>726</v>
      </c>
      <c r="L251" s="1">
        <f>313+152+131+14+14</f>
        <v>624</v>
      </c>
    </row>
    <row r="252" spans="1:12" x14ac:dyDescent="0.25">
      <c r="A252" s="1" t="s">
        <v>7</v>
      </c>
      <c r="B252" s="1">
        <f>C252+D252+G252+H252+K252+L252</f>
        <v>4780</v>
      </c>
      <c r="C252" s="1">
        <f>906+316+211+14+16</f>
        <v>1463</v>
      </c>
      <c r="D252" s="1">
        <f>304+137+164+52+41</f>
        <v>698</v>
      </c>
      <c r="G252" s="1">
        <f>287+205+154+40+77</f>
        <v>763</v>
      </c>
      <c r="H252" s="1">
        <f>129+37+77+21+32</f>
        <v>296</v>
      </c>
      <c r="K252" s="1">
        <f>821+23</f>
        <v>844</v>
      </c>
      <c r="L252" s="1">
        <f>378+168+133+20+17</f>
        <v>716</v>
      </c>
    </row>
    <row r="253" spans="1:12" x14ac:dyDescent="0.25">
      <c r="A253" s="1" t="s">
        <v>8</v>
      </c>
      <c r="B253" s="1">
        <f>C253+D253+G253+H253+K253+L253</f>
        <v>4956</v>
      </c>
      <c r="C253" s="1">
        <f>951+324+214+18+19</f>
        <v>1526</v>
      </c>
      <c r="D253" s="1">
        <f>282+127+168+56+46</f>
        <v>679</v>
      </c>
      <c r="G253" s="1">
        <f>298+217+160+49+79</f>
        <v>803</v>
      </c>
      <c r="H253" s="1">
        <f>145+36+83+26+32</f>
        <v>322</v>
      </c>
      <c r="K253" s="1">
        <f>868+23</f>
        <v>891</v>
      </c>
      <c r="L253" s="1">
        <f>388+168+144+18+17</f>
        <v>735</v>
      </c>
    </row>
    <row r="254" spans="1:12" x14ac:dyDescent="0.25">
      <c r="A254" s="1" t="s">
        <v>9</v>
      </c>
      <c r="B254" s="3" t="s">
        <v>56</v>
      </c>
      <c r="C254" s="3" t="s">
        <v>57</v>
      </c>
      <c r="D254" s="1">
        <f>301+114+163+51+41</f>
        <v>670</v>
      </c>
      <c r="G254" s="1">
        <f>333+222+163+45+73</f>
        <v>836</v>
      </c>
      <c r="H254" s="1">
        <f>163+47+79+26+26</f>
        <v>341</v>
      </c>
      <c r="K254" s="1">
        <f>874+24</f>
        <v>898</v>
      </c>
      <c r="L254" s="1">
        <f>386+171+162+21+20</f>
        <v>760</v>
      </c>
    </row>
    <row r="255" spans="1:12" x14ac:dyDescent="0.25">
      <c r="A255" s="1" t="s">
        <v>10</v>
      </c>
      <c r="B255" s="1">
        <f>C255+D255+G255+H255+K255+L255</f>
        <v>5187</v>
      </c>
      <c r="C255" s="1">
        <f>960+335+234+18+24</f>
        <v>1571</v>
      </c>
      <c r="D255" s="1">
        <f>317+138+165+53+54</f>
        <v>727</v>
      </c>
      <c r="G255" s="1">
        <f>315+219+173+43+91</f>
        <v>841</v>
      </c>
      <c r="H255" s="1">
        <f>179+60+71+37+32</f>
        <v>379</v>
      </c>
      <c r="K255" s="1">
        <f>857+24</f>
        <v>881</v>
      </c>
      <c r="L255" s="1">
        <f>434+158+159+19+18</f>
        <v>788</v>
      </c>
    </row>
    <row r="256" spans="1:12" x14ac:dyDescent="0.25">
      <c r="A256" s="1" t="s">
        <v>11</v>
      </c>
      <c r="B256" s="1">
        <f>C256+D256+G256+H256+K256+L256</f>
        <v>4607</v>
      </c>
      <c r="C256" s="1">
        <f>889+284+204+17+18</f>
        <v>1412</v>
      </c>
      <c r="D256" s="1">
        <f>285+108+143+58+50</f>
        <v>644</v>
      </c>
      <c r="G256" s="1">
        <f>289+173+146+42+96</f>
        <v>746</v>
      </c>
      <c r="H256" s="1">
        <f>169+55+61+28+25</f>
        <v>338</v>
      </c>
      <c r="K256" s="1">
        <f>785+21</f>
        <v>806</v>
      </c>
      <c r="L256" s="1">
        <f>371+139+120+16+15</f>
        <v>661</v>
      </c>
    </row>
    <row r="257" spans="1:12" x14ac:dyDescent="0.25">
      <c r="A257" s="1" t="s">
        <v>12</v>
      </c>
      <c r="B257" s="1">
        <f>C257+D257+G257+H257+K257+L257</f>
        <v>4842</v>
      </c>
      <c r="C257" s="1">
        <f>941+282+197+19+23</f>
        <v>1462</v>
      </c>
      <c r="D257" s="1">
        <f>314+123+161+55+56</f>
        <v>709</v>
      </c>
      <c r="G257" s="1">
        <f>318+188+160+46+88</f>
        <v>800</v>
      </c>
      <c r="H257" s="1">
        <f>173+50+66+34+27</f>
        <v>350</v>
      </c>
      <c r="K257" s="1">
        <f>826+19</f>
        <v>845</v>
      </c>
      <c r="L257" s="1">
        <f>384+144+121+14+13</f>
        <v>676</v>
      </c>
    </row>
    <row r="258" spans="1:12" x14ac:dyDescent="0.25">
      <c r="A258" s="1" t="s">
        <v>13</v>
      </c>
      <c r="B258" s="1">
        <f>C258+D258+G258+H258+K258+L258</f>
        <v>4545</v>
      </c>
      <c r="C258" s="1">
        <f>905+281+203+15+13</f>
        <v>1417</v>
      </c>
      <c r="D258" s="1">
        <f>290+111+144+45+45</f>
        <v>635</v>
      </c>
      <c r="G258" s="1">
        <f>296+162+156+49+71</f>
        <v>734</v>
      </c>
      <c r="H258" s="1">
        <f>159+42+59+26+25</f>
        <v>311</v>
      </c>
      <c r="K258" s="1">
        <f>793+19</f>
        <v>812</v>
      </c>
      <c r="L258" s="1">
        <f>356+129+124+13+14</f>
        <v>636</v>
      </c>
    </row>
    <row r="259" spans="1:12" x14ac:dyDescent="0.25">
      <c r="A259" s="1" t="s">
        <v>14</v>
      </c>
      <c r="B259" s="1">
        <v>4577</v>
      </c>
      <c r="C259" s="1">
        <f>957+278+185+11+7</f>
        <v>1438</v>
      </c>
      <c r="D259" s="1">
        <f>270+101+153+49+42</f>
        <v>615</v>
      </c>
      <c r="G259" s="1">
        <f>300+172+143+57+79</f>
        <v>751</v>
      </c>
      <c r="H259" s="1">
        <f>154+41+57+23+19</f>
        <v>294</v>
      </c>
      <c r="K259" s="1">
        <f>812+22</f>
        <v>834</v>
      </c>
      <c r="L259" s="1">
        <f>369+134+116+13+13</f>
        <v>645</v>
      </c>
    </row>
    <row r="260" spans="1:12" x14ac:dyDescent="0.25">
      <c r="A260" s="1" t="s">
        <v>69</v>
      </c>
      <c r="B260" s="1">
        <f>C260+D260+G260+H260+K260+L260</f>
        <v>4621</v>
      </c>
      <c r="C260" s="1">
        <f>930+269+198+11+13</f>
        <v>1421</v>
      </c>
      <c r="D260" s="1">
        <f>285+119+141+55+45</f>
        <v>645</v>
      </c>
      <c r="G260" s="1">
        <f>307+177+151+49+74</f>
        <v>758</v>
      </c>
      <c r="H260" s="1">
        <f>153+50+59+22+15</f>
        <v>299</v>
      </c>
      <c r="K260" s="1">
        <f>813+24</f>
        <v>837</v>
      </c>
      <c r="L260" s="1">
        <f>393+123+119+13+13</f>
        <v>661</v>
      </c>
    </row>
    <row r="261" spans="1:12" x14ac:dyDescent="0.25">
      <c r="A261" s="1" t="s">
        <v>76</v>
      </c>
      <c r="B261" s="1">
        <f>C261+D261+H261+G261+K261+L261</f>
        <v>4358</v>
      </c>
      <c r="C261" s="1">
        <f>910+271+184+15+13</f>
        <v>1393</v>
      </c>
      <c r="D261" s="1">
        <f>253+111+144+56+46</f>
        <v>610</v>
      </c>
      <c r="G261" s="1">
        <f>306+176+152+45+64</f>
        <v>743</v>
      </c>
      <c r="H261" s="1">
        <f>145+37+55+19+18</f>
        <v>274</v>
      </c>
      <c r="K261" s="1">
        <f>719+29</f>
        <v>748</v>
      </c>
      <c r="L261" s="1">
        <f>353+108+100+15+14</f>
        <v>590</v>
      </c>
    </row>
    <row r="262" spans="1:12" x14ac:dyDescent="0.25">
      <c r="A262" s="1" t="s">
        <v>103</v>
      </c>
      <c r="B262" s="1">
        <f t="shared" ref="B262:B267" si="24">C262+D262+G262+H262+K262+L262</f>
        <v>4411</v>
      </c>
      <c r="C262" s="1">
        <f>881+271+197+15+13</f>
        <v>1377</v>
      </c>
      <c r="D262" s="1">
        <f>235+106+154+54+48</f>
        <v>597</v>
      </c>
      <c r="G262" s="1">
        <f>321+172+161+49+70</f>
        <v>773</v>
      </c>
      <c r="H262" s="1">
        <f>132+41+69+27+14</f>
        <v>283</v>
      </c>
      <c r="K262" s="1">
        <f>707+29</f>
        <v>736</v>
      </c>
      <c r="L262" s="1">
        <f>343+151+122+15+14</f>
        <v>645</v>
      </c>
    </row>
    <row r="263" spans="1:12" x14ac:dyDescent="0.25">
      <c r="A263" s="1" t="s">
        <v>118</v>
      </c>
      <c r="B263" s="1">
        <f t="shared" si="24"/>
        <v>3869</v>
      </c>
      <c r="C263" s="1">
        <f>801+243+134+10+16</f>
        <v>1204</v>
      </c>
      <c r="D263" s="1">
        <f>222+96+148+54+49</f>
        <v>569</v>
      </c>
      <c r="G263" s="1">
        <f>266+136+137+46+64</f>
        <v>649</v>
      </c>
      <c r="H263" s="1">
        <f>139+29+52+23+26</f>
        <v>269</v>
      </c>
      <c r="K263" s="1">
        <f>588+18</f>
        <v>606</v>
      </c>
      <c r="L263" s="1">
        <f>330+126+101+8+7</f>
        <v>572</v>
      </c>
    </row>
    <row r="264" spans="1:12" x14ac:dyDescent="0.25">
      <c r="A264" s="1" t="s">
        <v>122</v>
      </c>
      <c r="B264" s="1">
        <f t="shared" si="24"/>
        <v>3351</v>
      </c>
      <c r="C264" s="1">
        <f>698+214+136+10+15</f>
        <v>1073</v>
      </c>
      <c r="D264" s="1">
        <f>189+70+132+50+46</f>
        <v>487</v>
      </c>
      <c r="G264" s="1">
        <f>230+111+89+41+60</f>
        <v>531</v>
      </c>
      <c r="H264" s="1">
        <f>116+25+47+24+31</f>
        <v>243</v>
      </c>
      <c r="K264" s="1">
        <f>483+13</f>
        <v>496</v>
      </c>
      <c r="L264" s="1">
        <f>302+120+85+7+7</f>
        <v>521</v>
      </c>
    </row>
    <row r="265" spans="1:12" x14ac:dyDescent="0.25">
      <c r="A265" s="1" t="s">
        <v>128</v>
      </c>
      <c r="B265" s="1">
        <f t="shared" si="24"/>
        <v>3551</v>
      </c>
      <c r="C265" s="1">
        <f>774+210+134+10+18</f>
        <v>1146</v>
      </c>
      <c r="D265" s="1">
        <f>214+81+140+48+43</f>
        <v>526</v>
      </c>
      <c r="G265" s="1">
        <f>257+110+92+35+57</f>
        <v>551</v>
      </c>
      <c r="H265" s="1">
        <f>112+35+36+22+27</f>
        <v>232</v>
      </c>
      <c r="K265" s="1">
        <f>596+17</f>
        <v>613</v>
      </c>
      <c r="L265" s="1">
        <f>287+99+82+7+8</f>
        <v>483</v>
      </c>
    </row>
    <row r="266" spans="1:12" x14ac:dyDescent="0.25">
      <c r="A266" s="1" t="s">
        <v>130</v>
      </c>
      <c r="B266" s="1">
        <f t="shared" si="24"/>
        <v>3736</v>
      </c>
      <c r="C266" s="1">
        <f>812+224+155+11+19</f>
        <v>1221</v>
      </c>
      <c r="D266" s="1">
        <f>210+92+137+45+44</f>
        <v>528</v>
      </c>
      <c r="G266" s="1">
        <f>255+118+100+36+58</f>
        <v>567</v>
      </c>
      <c r="H266" s="1">
        <f>114+29+48+22+25</f>
        <v>238</v>
      </c>
      <c r="K266" s="1">
        <f>700+11</f>
        <v>711</v>
      </c>
      <c r="L266" s="1">
        <f>283+97+78+6+7</f>
        <v>471</v>
      </c>
    </row>
    <row r="267" spans="1:12" x14ac:dyDescent="0.25">
      <c r="A267" s="1" t="s">
        <v>131</v>
      </c>
      <c r="B267" s="1">
        <f t="shared" si="24"/>
        <v>3603</v>
      </c>
      <c r="C267" s="1">
        <f>803+228+144+10+22</f>
        <v>1207</v>
      </c>
      <c r="D267" s="1">
        <f>207+74+136+56+56</f>
        <v>529</v>
      </c>
      <c r="G267" s="1">
        <f>247+110+88+41+58</f>
        <v>544</v>
      </c>
      <c r="H267" s="1">
        <f>112+37+58+22+32</f>
        <v>261</v>
      </c>
      <c r="K267" s="1">
        <f>594+16</f>
        <v>610</v>
      </c>
      <c r="L267" s="1">
        <f>264+101+74+6+7</f>
        <v>452</v>
      </c>
    </row>
    <row r="268" spans="1:12" x14ac:dyDescent="0.25">
      <c r="A268" s="1" t="s">
        <v>132</v>
      </c>
      <c r="B268" s="1">
        <f t="shared" ref="B268:B273" si="25">C268+D268+G268+H268+K268+L268</f>
        <v>3684</v>
      </c>
      <c r="C268" s="1">
        <f>789+231+152+12+17</f>
        <v>1201</v>
      </c>
      <c r="D268" s="1">
        <f>205+87+153+43+44</f>
        <v>532</v>
      </c>
      <c r="G268" s="1">
        <f>245+103+109+36+62</f>
        <v>555</v>
      </c>
      <c r="H268" s="1">
        <f>111+35+60+27+21</f>
        <v>254</v>
      </c>
      <c r="K268" s="1">
        <f>646+18</f>
        <v>664</v>
      </c>
      <c r="L268" s="1">
        <f>278+112+68+8+12</f>
        <v>478</v>
      </c>
    </row>
    <row r="269" spans="1:12" x14ac:dyDescent="0.25">
      <c r="A269" s="1" t="s">
        <v>133</v>
      </c>
      <c r="B269" s="1">
        <f t="shared" si="25"/>
        <v>3472</v>
      </c>
      <c r="C269" s="1">
        <f>759+219+123+12+19</f>
        <v>1132</v>
      </c>
      <c r="D269" s="1">
        <f>213+89+156+41+47</f>
        <v>546</v>
      </c>
      <c r="G269" s="1">
        <f>235+119+110+32+54</f>
        <v>550</v>
      </c>
      <c r="H269" s="1">
        <f>113+34+62+22+25</f>
        <v>256</v>
      </c>
      <c r="K269" s="1">
        <f>545+8</f>
        <v>553</v>
      </c>
      <c r="L269" s="1">
        <f>246+99+72+6+12</f>
        <v>435</v>
      </c>
    </row>
    <row r="270" spans="1:12" x14ac:dyDescent="0.25">
      <c r="A270" s="1" t="s">
        <v>134</v>
      </c>
      <c r="B270" s="1">
        <f t="shared" si="25"/>
        <v>3585</v>
      </c>
      <c r="C270" s="1">
        <f>791+254+139+14+16</f>
        <v>1214</v>
      </c>
      <c r="D270" s="1">
        <f>214+93+140+39+40</f>
        <v>526</v>
      </c>
      <c r="G270" s="1">
        <f>227+110+107+34+48</f>
        <v>526</v>
      </c>
      <c r="H270" s="1">
        <f>124+33+57+20+19</f>
        <v>253</v>
      </c>
      <c r="K270" s="1">
        <f>605+12</f>
        <v>617</v>
      </c>
      <c r="L270" s="1">
        <f>267+95+70+6+11</f>
        <v>449</v>
      </c>
    </row>
    <row r="271" spans="1:12" x14ac:dyDescent="0.25">
      <c r="A271" s="1" t="s">
        <v>135</v>
      </c>
      <c r="B271" s="1">
        <f t="shared" si="25"/>
        <v>3463</v>
      </c>
      <c r="C271" s="1">
        <f>765+242+145+16+14</f>
        <v>1182</v>
      </c>
      <c r="D271" s="1">
        <f>198+81+138+40+44</f>
        <v>501</v>
      </c>
      <c r="G271" s="1">
        <f>222+104+95+33+48</f>
        <v>502</v>
      </c>
      <c r="H271" s="1">
        <f>111+30+58+19+20</f>
        <v>238</v>
      </c>
      <c r="K271" s="1">
        <f>593+20</f>
        <v>613</v>
      </c>
      <c r="L271" s="1">
        <f>257+91+60+7+12</f>
        <v>427</v>
      </c>
    </row>
    <row r="272" spans="1:12" x14ac:dyDescent="0.25">
      <c r="A272" s="1" t="s">
        <v>138</v>
      </c>
      <c r="B272" s="1">
        <f t="shared" si="25"/>
        <v>3000</v>
      </c>
      <c r="C272" s="1">
        <f>723+199+120+20+14</f>
        <v>1076</v>
      </c>
      <c r="D272" s="1">
        <f>153+67+92+41+37</f>
        <v>390</v>
      </c>
      <c r="G272" s="1">
        <f>224+90+52+25+54</f>
        <v>445</v>
      </c>
      <c r="H272" s="1">
        <f>104+27+36+21+20</f>
        <v>208</v>
      </c>
      <c r="K272" s="1">
        <f>447+20</f>
        <v>467</v>
      </c>
      <c r="L272" s="1">
        <f>234+112+53+5+10</f>
        <v>414</v>
      </c>
    </row>
    <row r="273" spans="1:13" x14ac:dyDescent="0.25">
      <c r="A273" s="1" t="s">
        <v>140</v>
      </c>
      <c r="B273" s="1">
        <f t="shared" si="25"/>
        <v>2957</v>
      </c>
      <c r="C273" s="1">
        <f>693+218+130+16+8</f>
        <v>1065</v>
      </c>
      <c r="D273" s="1">
        <f>150+72+95+38+30</f>
        <v>385</v>
      </c>
      <c r="G273" s="1">
        <f>222+79+81+26+54</f>
        <v>462</v>
      </c>
      <c r="H273" s="1">
        <f>87+26+39+19+14</f>
        <v>185</v>
      </c>
      <c r="K273" s="1">
        <f>438+17</f>
        <v>455</v>
      </c>
      <c r="L273" s="1">
        <f>237+105+46+7+10</f>
        <v>405</v>
      </c>
    </row>
    <row r="274" spans="1:13" x14ac:dyDescent="0.25">
      <c r="A274" s="1" t="s">
        <v>141</v>
      </c>
      <c r="B274" s="1">
        <f>C274+D274+G274+H274+K274+L274</f>
        <v>2648</v>
      </c>
      <c r="C274" s="1">
        <f>584+192+125+15+12</f>
        <v>928</v>
      </c>
      <c r="D274" s="1">
        <f>146+63+94+45+29</f>
        <v>377</v>
      </c>
      <c r="G274" s="1">
        <f>200+72+70+20+48</f>
        <v>410</v>
      </c>
      <c r="H274" s="1">
        <f>82+25+32+22+22</f>
        <v>183</v>
      </c>
      <c r="K274" s="1">
        <f>357+17</f>
        <v>374</v>
      </c>
      <c r="L274" s="1">
        <f>229+89+40+7+11</f>
        <v>376</v>
      </c>
    </row>
    <row r="275" spans="1:13" x14ac:dyDescent="0.25">
      <c r="A275" s="1" t="s">
        <v>142</v>
      </c>
      <c r="B275" s="1">
        <f>C275+D275+G275+H275+K275+L275</f>
        <v>3159</v>
      </c>
      <c r="C275" s="1">
        <f>696+220+130+24+17</f>
        <v>1087</v>
      </c>
      <c r="D275" s="1">
        <f>149+57+93+43+33</f>
        <v>375</v>
      </c>
      <c r="G275" s="1">
        <f>229+84+83+17+46</f>
        <v>459</v>
      </c>
      <c r="H275" s="1">
        <f>98+25+33+23+15</f>
        <v>194</v>
      </c>
      <c r="K275" s="1">
        <f>655+20</f>
        <v>675</v>
      </c>
      <c r="L275" s="1">
        <f>228+80+41+10+10</f>
        <v>369</v>
      </c>
    </row>
    <row r="276" spans="1:13" x14ac:dyDescent="0.25">
      <c r="A276" s="1" t="s">
        <v>144</v>
      </c>
      <c r="B276" s="1">
        <f>C276+D276+G276+H276+K276+L276</f>
        <v>3128</v>
      </c>
      <c r="C276" s="1">
        <f>717+227+139+19+15</f>
        <v>1117</v>
      </c>
      <c r="D276" s="1">
        <f>155+90+75+42+35</f>
        <v>397</v>
      </c>
      <c r="G276" s="1">
        <f>215+78+85+15+40</f>
        <v>433</v>
      </c>
      <c r="H276" s="1">
        <f>93+27+45+20+15</f>
        <v>200</v>
      </c>
      <c r="K276" s="1">
        <f>620+20</f>
        <v>640</v>
      </c>
      <c r="L276" s="1">
        <f>216+68+38+10+9</f>
        <v>341</v>
      </c>
    </row>
    <row r="277" spans="1:13" x14ac:dyDescent="0.25">
      <c r="A277" s="1" t="s">
        <v>148</v>
      </c>
      <c r="B277" s="1">
        <f>C277+D277+G277+H277+K277+L277</f>
        <v>3110</v>
      </c>
      <c r="C277" s="1">
        <f>682+228+112+18+18</f>
        <v>1058</v>
      </c>
      <c r="D277" s="1">
        <f>174+67+82+39+36</f>
        <v>398</v>
      </c>
      <c r="G277" s="1">
        <f>195+74+79+22+45</f>
        <v>415</v>
      </c>
      <c r="H277" s="1">
        <f>92+29+38+23+11</f>
        <v>193</v>
      </c>
      <c r="K277" s="1">
        <f>665+19</f>
        <v>684</v>
      </c>
      <c r="L277" s="1">
        <f>231+72+40+10+9</f>
        <v>362</v>
      </c>
    </row>
    <row r="278" spans="1:13" x14ac:dyDescent="0.25">
      <c r="A278" s="1" t="s">
        <v>151</v>
      </c>
      <c r="B278" s="1">
        <f>C278+D278+G278+H278+K278+L278</f>
        <v>3163</v>
      </c>
      <c r="C278" s="1">
        <f>684+229+127+17+14</f>
        <v>1071</v>
      </c>
      <c r="D278" s="1">
        <f>166+68+86+41+37</f>
        <v>398</v>
      </c>
      <c r="G278" s="1">
        <f>200+70+89+18+39</f>
        <v>416</v>
      </c>
      <c r="H278" s="1">
        <f>82+20+41+22+11</f>
        <v>176</v>
      </c>
      <c r="K278" s="1">
        <f>745+21</f>
        <v>766</v>
      </c>
      <c r="L278" s="1">
        <f>229+56+32+7+12</f>
        <v>336</v>
      </c>
    </row>
    <row r="286" spans="1:13" x14ac:dyDescent="0.25">
      <c r="B286" s="1" t="s">
        <v>58</v>
      </c>
      <c r="C286" s="4" t="s">
        <v>113</v>
      </c>
      <c r="D286" s="1" t="s">
        <v>59</v>
      </c>
      <c r="E286" s="2" t="s">
        <v>34</v>
      </c>
      <c r="G286" s="2" t="s">
        <v>105</v>
      </c>
      <c r="H286" s="1" t="s">
        <v>104</v>
      </c>
      <c r="I286" s="1" t="s">
        <v>60</v>
      </c>
      <c r="K286" s="1" t="s">
        <v>107</v>
      </c>
      <c r="L286" s="2" t="s">
        <v>116</v>
      </c>
      <c r="M286" s="1" t="s">
        <v>61</v>
      </c>
    </row>
    <row r="287" spans="1:13" x14ac:dyDescent="0.25">
      <c r="A287" s="1" t="s">
        <v>5</v>
      </c>
      <c r="B287" s="3" t="s">
        <v>62</v>
      </c>
      <c r="C287" s="1">
        <f>950+43</f>
        <v>993</v>
      </c>
      <c r="D287" s="2">
        <f>709+444+231+26+37</f>
        <v>1447</v>
      </c>
      <c r="E287" s="1">
        <f>797+234+143+10</f>
        <v>1184</v>
      </c>
      <c r="G287" s="1">
        <f>260+99+66+13+38</f>
        <v>476</v>
      </c>
      <c r="H287" s="1">
        <f>286+72+76+11</f>
        <v>445</v>
      </c>
      <c r="I287" s="1">
        <f>194+57+77+16+9</f>
        <v>353</v>
      </c>
      <c r="K287" s="2" t="s">
        <v>41</v>
      </c>
      <c r="L287" s="1">
        <f>206+154+104+9+27</f>
        <v>500</v>
      </c>
      <c r="M287" s="1">
        <f>299+101+100+17+17</f>
        <v>534</v>
      </c>
    </row>
    <row r="288" spans="1:13" x14ac:dyDescent="0.25">
      <c r="A288" s="1" t="s">
        <v>6</v>
      </c>
      <c r="B288" s="3" t="s">
        <v>63</v>
      </c>
      <c r="C288" s="1">
        <f>631+16</f>
        <v>647</v>
      </c>
      <c r="D288" s="1">
        <f>519+300+149+11+21</f>
        <v>1000</v>
      </c>
      <c r="E288" s="1">
        <f>629+126+76+8</f>
        <v>839</v>
      </c>
      <c r="G288" s="1">
        <f>197+64+50+10+18</f>
        <v>339</v>
      </c>
      <c r="H288" s="1">
        <f>235+55+43+18</f>
        <v>351</v>
      </c>
      <c r="I288" s="1">
        <f>165+33+42+11+8</f>
        <v>259</v>
      </c>
      <c r="K288" s="1" t="s">
        <v>41</v>
      </c>
      <c r="L288" s="1">
        <f>137+112+86+11+23</f>
        <v>369</v>
      </c>
      <c r="M288" s="1">
        <f>292+78+71+11+12</f>
        <v>464</v>
      </c>
    </row>
    <row r="289" spans="1:13" x14ac:dyDescent="0.25">
      <c r="A289" s="1" t="s">
        <v>7</v>
      </c>
      <c r="B289" s="3" t="s">
        <v>64</v>
      </c>
      <c r="C289" s="1">
        <f>961+13</f>
        <v>974</v>
      </c>
      <c r="D289" s="1">
        <f>712+346+150+17+24</f>
        <v>1249</v>
      </c>
      <c r="E289" s="1">
        <f>803+183+101+11</f>
        <v>1098</v>
      </c>
      <c r="G289" s="1">
        <f>295+88+64+10+25</f>
        <v>482</v>
      </c>
      <c r="H289" s="1">
        <f>311+77+56+14</f>
        <v>458</v>
      </c>
      <c r="I289" s="1">
        <f>209+54+46+7+4</f>
        <v>320</v>
      </c>
      <c r="K289" s="1" t="s">
        <v>41</v>
      </c>
      <c r="L289" s="1">
        <f>178+160+121+15+30</f>
        <v>504</v>
      </c>
      <c r="M289" s="1">
        <f>275+138+118+10+17</f>
        <v>558</v>
      </c>
    </row>
    <row r="290" spans="1:13" x14ac:dyDescent="0.25">
      <c r="A290" s="1" t="s">
        <v>8</v>
      </c>
      <c r="B290" s="3" t="s">
        <v>65</v>
      </c>
      <c r="C290" s="1">
        <f>880+18</f>
        <v>898</v>
      </c>
      <c r="D290" s="1">
        <f>727+349+194+19+37</f>
        <v>1326</v>
      </c>
      <c r="E290" s="1">
        <f>839+167+114+18</f>
        <v>1138</v>
      </c>
      <c r="G290" s="1">
        <f>281+89+63+15+33</f>
        <v>481</v>
      </c>
      <c r="H290" s="1">
        <f>272+69+52+18</f>
        <v>411</v>
      </c>
      <c r="I290" s="1">
        <f>164+43+43+12+4</f>
        <v>266</v>
      </c>
      <c r="K290" s="1" t="s">
        <v>41</v>
      </c>
      <c r="L290" s="1">
        <f>187+148+117+15+36</f>
        <v>503</v>
      </c>
      <c r="M290" s="1">
        <f>285+137+122+12+20</f>
        <v>576</v>
      </c>
    </row>
    <row r="291" spans="1:13" x14ac:dyDescent="0.25">
      <c r="A291" s="1" t="s">
        <v>9</v>
      </c>
      <c r="B291" s="3" t="s">
        <v>73</v>
      </c>
      <c r="C291" s="3" t="s">
        <v>70</v>
      </c>
      <c r="D291" s="1">
        <f>778+387+202+23+38</f>
        <v>1428</v>
      </c>
      <c r="E291" s="1">
        <f>934+181+133+20</f>
        <v>1268</v>
      </c>
      <c r="G291" s="1">
        <f>292+85+69+12+26</f>
        <v>484</v>
      </c>
      <c r="H291" s="1">
        <f>316+75+51+15</f>
        <v>457</v>
      </c>
      <c r="I291" s="1">
        <f>193+49+47+12+5</f>
        <v>306</v>
      </c>
      <c r="K291" s="1" t="s">
        <v>41</v>
      </c>
      <c r="L291" s="1">
        <f>186+155+115+12+36</f>
        <v>504</v>
      </c>
      <c r="M291" s="1">
        <f>299+129+119+13+18</f>
        <v>578</v>
      </c>
    </row>
    <row r="292" spans="1:13" x14ac:dyDescent="0.25">
      <c r="A292" s="1" t="s">
        <v>10</v>
      </c>
      <c r="B292" s="3" t="s">
        <v>74</v>
      </c>
      <c r="C292" s="3" t="s">
        <v>70</v>
      </c>
      <c r="D292" s="1">
        <f>768+392+205+17+36</f>
        <v>1418</v>
      </c>
      <c r="E292" s="1">
        <f>994+212+129+17</f>
        <v>1352</v>
      </c>
      <c r="G292" s="1">
        <f>305+100+76+18+32</f>
        <v>531</v>
      </c>
      <c r="H292" s="1">
        <f>314+78+62+19</f>
        <v>473</v>
      </c>
      <c r="I292" s="1">
        <f>204+51+66+23+5</f>
        <v>349</v>
      </c>
      <c r="K292" s="1" t="s">
        <v>41</v>
      </c>
      <c r="L292" s="1">
        <f>208+156+140+12+43</f>
        <v>559</v>
      </c>
      <c r="M292" s="1">
        <f>274+135+133+15+20</f>
        <v>577</v>
      </c>
    </row>
    <row r="293" spans="1:13" x14ac:dyDescent="0.25">
      <c r="A293" s="1" t="s">
        <v>11</v>
      </c>
      <c r="B293" s="3" t="s">
        <v>66</v>
      </c>
      <c r="C293" s="1">
        <f>951+27</f>
        <v>978</v>
      </c>
      <c r="D293" s="1">
        <f>720+337+208+18+37</f>
        <v>1320</v>
      </c>
      <c r="E293" s="1">
        <f>880+173+116+20</f>
        <v>1189</v>
      </c>
      <c r="G293" s="1">
        <f>291+83+69+19+29</f>
        <v>491</v>
      </c>
      <c r="H293" s="1">
        <f>285+75+57+19</f>
        <v>436</v>
      </c>
      <c r="I293" s="1">
        <f>182+32+51+22+7</f>
        <v>294</v>
      </c>
      <c r="K293" s="1" t="s">
        <v>41</v>
      </c>
      <c r="L293" s="1">
        <f>203+117+112+13+30</f>
        <v>475</v>
      </c>
      <c r="M293" s="1">
        <f>288+115+102+10+14</f>
        <v>529</v>
      </c>
    </row>
    <row r="294" spans="1:13" x14ac:dyDescent="0.25">
      <c r="A294" s="1" t="s">
        <v>12</v>
      </c>
      <c r="B294" s="3" t="s">
        <v>75</v>
      </c>
      <c r="C294" s="3" t="s">
        <v>70</v>
      </c>
      <c r="D294" s="1">
        <f>769+355+199+23+36</f>
        <v>1382</v>
      </c>
      <c r="E294" s="1">
        <f>940+180+106+17</f>
        <v>1243</v>
      </c>
      <c r="G294" s="1">
        <f>286+90+65+17+30</f>
        <v>488</v>
      </c>
      <c r="H294" s="1">
        <f>310+76+46+24</f>
        <v>456</v>
      </c>
      <c r="I294" s="1">
        <f>207+30+54+21+6</f>
        <v>318</v>
      </c>
      <c r="K294" s="1" t="s">
        <v>41</v>
      </c>
      <c r="L294" s="1">
        <f>201+144+122+9+27</f>
        <v>503</v>
      </c>
      <c r="M294" s="1">
        <f>316+130+110+12+12</f>
        <v>580</v>
      </c>
    </row>
    <row r="295" spans="1:13" x14ac:dyDescent="0.25">
      <c r="A295" s="1" t="s">
        <v>13</v>
      </c>
      <c r="B295" s="3" t="s">
        <v>67</v>
      </c>
      <c r="C295" s="1">
        <f>928+31</f>
        <v>959</v>
      </c>
      <c r="D295" s="1">
        <f>705+325+161+18+54</f>
        <v>1263</v>
      </c>
      <c r="E295" s="1">
        <f>896+184+96+11</f>
        <v>1187</v>
      </c>
      <c r="G295" s="1">
        <f>284+80+63+12+30</f>
        <v>469</v>
      </c>
      <c r="H295" s="1">
        <f>289+70+48+24</f>
        <v>431</v>
      </c>
      <c r="I295" s="1">
        <f>171+31+42+18+5</f>
        <v>267</v>
      </c>
      <c r="K295" s="1" t="s">
        <v>41</v>
      </c>
      <c r="L295" s="1">
        <f>218+142+158+7+28</f>
        <v>553</v>
      </c>
      <c r="M295" s="1">
        <f>359+117+113+7+15</f>
        <v>611</v>
      </c>
    </row>
    <row r="296" spans="1:13" x14ac:dyDescent="0.25">
      <c r="A296" s="1" t="s">
        <v>14</v>
      </c>
      <c r="B296" s="3" t="s">
        <v>68</v>
      </c>
      <c r="C296" s="1">
        <f>817+27</f>
        <v>844</v>
      </c>
      <c r="D296" s="1">
        <f>702+319+164+17+46</f>
        <v>1248</v>
      </c>
      <c r="E296" s="1">
        <f>804+181+111+8</f>
        <v>1104</v>
      </c>
      <c r="G296" s="1">
        <f>252+78+60+9+27</f>
        <v>426</v>
      </c>
      <c r="H296" s="1">
        <f>301+67+58+15</f>
        <v>441</v>
      </c>
      <c r="I296" s="1">
        <f>180+46+50+14+3</f>
        <v>293</v>
      </c>
      <c r="K296" s="1" t="s">
        <v>41</v>
      </c>
      <c r="L296" s="1">
        <f>209+135+115+11+24</f>
        <v>494</v>
      </c>
      <c r="M296" s="1">
        <f>325+106+83+15+15</f>
        <v>544</v>
      </c>
    </row>
    <row r="297" spans="1:13" x14ac:dyDescent="0.25">
      <c r="A297" s="1" t="s">
        <v>69</v>
      </c>
      <c r="B297" s="3" t="s">
        <v>72</v>
      </c>
      <c r="C297" s="1">
        <f>854+35</f>
        <v>889</v>
      </c>
      <c r="D297" s="1">
        <f>723+327+165+11+46</f>
        <v>1272</v>
      </c>
      <c r="E297" s="1">
        <f>795+184+110+6</f>
        <v>1095</v>
      </c>
      <c r="G297" s="1">
        <f>291+81+76+9+26</f>
        <v>483</v>
      </c>
      <c r="H297" s="1">
        <f>281+64+52+18</f>
        <v>415</v>
      </c>
      <c r="I297" s="1">
        <f>194+41+54+14+4</f>
        <v>307</v>
      </c>
      <c r="K297" s="1" t="s">
        <v>70</v>
      </c>
      <c r="L297" s="1">
        <f>229+139+124+12+23</f>
        <v>527</v>
      </c>
      <c r="M297" s="1">
        <f>324+118+106+12+20</f>
        <v>580</v>
      </c>
    </row>
    <row r="298" spans="1:13" x14ac:dyDescent="0.25">
      <c r="A298" s="1" t="s">
        <v>76</v>
      </c>
      <c r="B298" s="3" t="s">
        <v>79</v>
      </c>
      <c r="C298" s="1">
        <f>837+33</f>
        <v>870</v>
      </c>
      <c r="D298" s="1">
        <f>713+320+169+12+44</f>
        <v>1258</v>
      </c>
      <c r="E298" s="1">
        <f>836+163+113+6</f>
        <v>1118</v>
      </c>
      <c r="G298" s="1">
        <f>271+76+85+10+28</f>
        <v>470</v>
      </c>
      <c r="H298" s="1">
        <f>321+64+55+20</f>
        <v>460</v>
      </c>
      <c r="I298" s="1">
        <f>180+42+45+15+3</f>
        <v>285</v>
      </c>
      <c r="K298" s="1" t="s">
        <v>77</v>
      </c>
      <c r="L298" s="1">
        <f>208+165+118+15+25</f>
        <v>531</v>
      </c>
      <c r="M298" s="1">
        <f>307+108+96+15+18</f>
        <v>544</v>
      </c>
    </row>
    <row r="299" spans="1:13" x14ac:dyDescent="0.25">
      <c r="A299" s="1" t="s">
        <v>103</v>
      </c>
      <c r="B299" s="3" t="s">
        <v>117</v>
      </c>
      <c r="C299" s="1">
        <f>805+31</f>
        <v>836</v>
      </c>
      <c r="D299" s="1">
        <f>720+334+166+17+46</f>
        <v>1283</v>
      </c>
      <c r="E299" s="1">
        <f>915+160+116+7</f>
        <v>1198</v>
      </c>
      <c r="G299" s="1">
        <f>276+78+80+10+22</f>
        <v>466</v>
      </c>
      <c r="H299" s="1">
        <f>277+78+64+19</f>
        <v>438</v>
      </c>
      <c r="I299" s="1">
        <f>154+45+45+14+3</f>
        <v>261</v>
      </c>
      <c r="K299" s="1" t="s">
        <v>114</v>
      </c>
      <c r="L299" s="1">
        <f>173+192+134+11+33</f>
        <v>543</v>
      </c>
      <c r="M299" s="1">
        <f>263+90+90+22+14</f>
        <v>479</v>
      </c>
    </row>
    <row r="300" spans="1:13" x14ac:dyDescent="0.3">
      <c r="A300" s="1" t="s">
        <v>118</v>
      </c>
      <c r="B300" s="5" t="s">
        <v>121</v>
      </c>
      <c r="C300" s="1">
        <f>747+22</f>
        <v>769</v>
      </c>
      <c r="D300" s="1">
        <f>692+323+156+25+52</f>
        <v>1248</v>
      </c>
      <c r="E300" s="1">
        <f>749+140+117+10</f>
        <v>1016</v>
      </c>
      <c r="G300" s="1">
        <f>256+64+84+9+18</f>
        <v>431</v>
      </c>
      <c r="H300" s="1">
        <f>225+65+56+18</f>
        <v>364</v>
      </c>
      <c r="I300" s="1">
        <f>151+33+40+7+1</f>
        <v>232</v>
      </c>
      <c r="K300" s="1" t="s">
        <v>119</v>
      </c>
      <c r="L300" s="1">
        <f>178+125+86+8+21</f>
        <v>418</v>
      </c>
      <c r="M300" s="1">
        <f>240+73+82+8+17</f>
        <v>420</v>
      </c>
    </row>
    <row r="301" spans="1:13" x14ac:dyDescent="0.3">
      <c r="A301" s="1" t="s">
        <v>122</v>
      </c>
      <c r="B301" s="5" t="s">
        <v>125</v>
      </c>
      <c r="C301" s="1">
        <f>711+25</f>
        <v>736</v>
      </c>
      <c r="D301" s="1">
        <f>630+299+138+26+49</f>
        <v>1142</v>
      </c>
      <c r="E301" s="1">
        <f>701+132+84+11</f>
        <v>928</v>
      </c>
      <c r="G301" s="1">
        <f>229+59+61+7+13</f>
        <v>369</v>
      </c>
      <c r="H301" s="1">
        <f>203+56+36+18</f>
        <v>313</v>
      </c>
      <c r="I301" s="1">
        <f>150+32+38+12+1</f>
        <v>233</v>
      </c>
      <c r="K301" s="1" t="s">
        <v>123</v>
      </c>
      <c r="L301" s="1">
        <f>144+103+74+6+17</f>
        <v>344</v>
      </c>
      <c r="M301" s="1">
        <f>207+63+65+7+12</f>
        <v>354</v>
      </c>
    </row>
    <row r="302" spans="1:13" x14ac:dyDescent="0.25">
      <c r="A302" s="1" t="s">
        <v>128</v>
      </c>
      <c r="B302" s="1">
        <f t="shared" ref="B302:B307" si="26">C302+D302+E302+G302+H302+I302+K302+L302+M302</f>
        <v>6024</v>
      </c>
      <c r="C302" s="1">
        <f>725+16</f>
        <v>741</v>
      </c>
      <c r="D302" s="1">
        <f>661+325+157+20+27</f>
        <v>1190</v>
      </c>
      <c r="E302" s="1">
        <f>667+141+101+12</f>
        <v>921</v>
      </c>
      <c r="G302" s="1">
        <f>245+69+88+8+15</f>
        <v>425</v>
      </c>
      <c r="H302" s="1">
        <f>224+64+59+16</f>
        <v>363</v>
      </c>
      <c r="I302" s="1">
        <f>156+26+48+11+1</f>
        <v>242</v>
      </c>
      <c r="K302" s="1">
        <f>1304+67</f>
        <v>1371</v>
      </c>
      <c r="L302" s="1">
        <f>146+113+101+7+16</f>
        <v>383</v>
      </c>
      <c r="M302" s="1">
        <f>213+71+79+12+13</f>
        <v>388</v>
      </c>
    </row>
    <row r="303" spans="1:13" x14ac:dyDescent="0.25">
      <c r="A303" s="1" t="s">
        <v>130</v>
      </c>
      <c r="B303" s="1">
        <f t="shared" si="26"/>
        <v>6150</v>
      </c>
      <c r="C303" s="1">
        <f>810+24</f>
        <v>834</v>
      </c>
      <c r="D303" s="1">
        <f>679+312+168+21+24</f>
        <v>1204</v>
      </c>
      <c r="E303" s="1">
        <f>722+135+110+12</f>
        <v>979</v>
      </c>
      <c r="G303" s="1">
        <f>259+66+83+8+15</f>
        <v>431</v>
      </c>
      <c r="H303" s="1">
        <f>260+73+55+19</f>
        <v>407</v>
      </c>
      <c r="I303" s="1">
        <f>167+30+45+13+1</f>
        <v>256</v>
      </c>
      <c r="K303" s="1">
        <f>1222+71</f>
        <v>1293</v>
      </c>
      <c r="L303" s="1">
        <f>149+109+96+8+20</f>
        <v>382</v>
      </c>
      <c r="M303" s="1">
        <f>205+74+65+6+14</f>
        <v>364</v>
      </c>
    </row>
    <row r="304" spans="1:13" x14ac:dyDescent="0.25">
      <c r="A304" s="1" t="s">
        <v>131</v>
      </c>
      <c r="B304" s="1">
        <f t="shared" si="26"/>
        <v>6049</v>
      </c>
      <c r="C304" s="1">
        <f>794+25</f>
        <v>819</v>
      </c>
      <c r="D304" s="1">
        <f>668+316+143+17+41</f>
        <v>1185</v>
      </c>
      <c r="E304" s="1">
        <f>695+155+90+9</f>
        <v>949</v>
      </c>
      <c r="G304" s="1">
        <f>248+69+78+7+21</f>
        <v>423</v>
      </c>
      <c r="H304" s="1">
        <f>262+64+70+27</f>
        <v>423</v>
      </c>
      <c r="I304" s="1">
        <f>181+36+49+15+2</f>
        <v>283</v>
      </c>
      <c r="K304" s="1">
        <f>1247+64</f>
        <v>1311</v>
      </c>
      <c r="L304" s="1">
        <f>153+76+75+7+18</f>
        <v>329</v>
      </c>
      <c r="M304" s="1">
        <f>198+61+50+5+13</f>
        <v>327</v>
      </c>
    </row>
    <row r="305" spans="1:13" x14ac:dyDescent="0.25">
      <c r="A305" s="1" t="s">
        <v>132</v>
      </c>
      <c r="B305" s="1">
        <f t="shared" si="26"/>
        <v>5998</v>
      </c>
      <c r="C305" s="1">
        <f>770+22</f>
        <v>792</v>
      </c>
      <c r="D305" s="1">
        <f>666+328+157+22+31</f>
        <v>1204</v>
      </c>
      <c r="E305" s="1">
        <f>686+153+83+8</f>
        <v>930</v>
      </c>
      <c r="G305" s="1">
        <f>249+75+76+7+16</f>
        <v>423</v>
      </c>
      <c r="H305" s="1">
        <f>269+61+53+27</f>
        <v>410</v>
      </c>
      <c r="I305" s="1">
        <f>184+30+49+11+3</f>
        <v>277</v>
      </c>
      <c r="K305" s="1">
        <f>1221+79</f>
        <v>1300</v>
      </c>
      <c r="L305" s="1">
        <f>152+79+96+5+21</f>
        <v>353</v>
      </c>
      <c r="M305" s="1">
        <f>176+53+61+6+13</f>
        <v>309</v>
      </c>
    </row>
    <row r="306" spans="1:13" x14ac:dyDescent="0.25">
      <c r="A306" s="1" t="s">
        <v>133</v>
      </c>
      <c r="B306" s="1">
        <f t="shared" si="26"/>
        <v>5838</v>
      </c>
      <c r="C306" s="1">
        <f>779+26</f>
        <v>805</v>
      </c>
      <c r="D306" s="1">
        <f>642+312+123+15+45</f>
        <v>1137</v>
      </c>
      <c r="E306" s="1">
        <f>669+143+74+10</f>
        <v>896</v>
      </c>
      <c r="G306" s="1">
        <f>250+65+51+6+19</f>
        <v>391</v>
      </c>
      <c r="H306" s="1">
        <f>244+60+52+30</f>
        <v>386</v>
      </c>
      <c r="I306" s="1">
        <f>186+27+45+17+4</f>
        <v>279</v>
      </c>
      <c r="K306" s="1">
        <f>1233+66</f>
        <v>1299</v>
      </c>
      <c r="L306" s="1">
        <f>145+93+87+5+19</f>
        <v>349</v>
      </c>
      <c r="M306" s="1">
        <f>173+51+56+3+13</f>
        <v>296</v>
      </c>
    </row>
    <row r="307" spans="1:13" x14ac:dyDescent="0.25">
      <c r="A307" s="1" t="s">
        <v>134</v>
      </c>
      <c r="B307" s="1">
        <f t="shared" si="26"/>
        <v>5797</v>
      </c>
      <c r="C307" s="1">
        <f>777+30</f>
        <v>807</v>
      </c>
      <c r="D307" s="1">
        <f>649+319+123+17+30</f>
        <v>1138</v>
      </c>
      <c r="E307" s="1">
        <f>669+170+72+11</f>
        <v>922</v>
      </c>
      <c r="G307" s="1">
        <f>233+73+73+6+19</f>
        <v>404</v>
      </c>
      <c r="H307" s="1">
        <f>212+74+61+30</f>
        <v>377</v>
      </c>
      <c r="I307" s="1">
        <f>153+32+52+16+3</f>
        <v>256</v>
      </c>
      <c r="K307" s="1">
        <f>1157+79</f>
        <v>1236</v>
      </c>
      <c r="L307" s="1">
        <f>160+100+91+7+2</f>
        <v>360</v>
      </c>
      <c r="M307" s="1">
        <f>168+63+51+2+13</f>
        <v>297</v>
      </c>
    </row>
    <row r="308" spans="1:13" x14ac:dyDescent="0.25">
      <c r="A308" s="1" t="s">
        <v>135</v>
      </c>
      <c r="B308" s="1">
        <f t="shared" ref="B308:B315" si="27">C308+D308+E308+G308+H308+I308+K308+L308+M308</f>
        <v>5718</v>
      </c>
      <c r="C308" s="1">
        <f>794+26</f>
        <v>820</v>
      </c>
      <c r="D308" s="1">
        <f>630+295+138+18+29</f>
        <v>1110</v>
      </c>
      <c r="E308" s="1">
        <f>690+155+88+12</f>
        <v>945</v>
      </c>
      <c r="G308" s="1">
        <f>239+75+69+7+22</f>
        <v>412</v>
      </c>
      <c r="H308" s="1">
        <f>225+74+61+29</f>
        <v>389</v>
      </c>
      <c r="I308" s="1">
        <f>160+26+47+13+3</f>
        <v>249</v>
      </c>
      <c r="K308" s="1">
        <f>1122+60</f>
        <v>1182</v>
      </c>
      <c r="L308" s="1">
        <f>147+67+81+5+17</f>
        <v>317</v>
      </c>
      <c r="M308" s="1">
        <f>179+49+50+4+12</f>
        <v>294</v>
      </c>
    </row>
    <row r="309" spans="1:13" x14ac:dyDescent="0.25">
      <c r="A309" s="1" t="s">
        <v>138</v>
      </c>
      <c r="B309" s="1">
        <f t="shared" si="27"/>
        <v>5265</v>
      </c>
      <c r="C309" s="1">
        <f>692+22</f>
        <v>714</v>
      </c>
      <c r="D309" s="1">
        <f>584+324+103+11+13</f>
        <v>1035</v>
      </c>
      <c r="E309" s="1">
        <f>612+144+68+17</f>
        <v>841</v>
      </c>
      <c r="G309" s="1">
        <f>203+58+51+6+15</f>
        <v>333</v>
      </c>
      <c r="H309" s="1">
        <f>203+54+45+29</f>
        <v>331</v>
      </c>
      <c r="I309" s="1">
        <f>160+30+31+9</f>
        <v>230</v>
      </c>
      <c r="K309" s="1">
        <f>1150+63</f>
        <v>1213</v>
      </c>
      <c r="L309" s="1">
        <f>121+82+60+4+13</f>
        <v>280</v>
      </c>
      <c r="M309" s="1">
        <f>157+62+57+3+9</f>
        <v>288</v>
      </c>
    </row>
    <row r="310" spans="1:13" x14ac:dyDescent="0.25">
      <c r="A310" s="1" t="s">
        <v>140</v>
      </c>
      <c r="B310" s="1">
        <f t="shared" si="27"/>
        <v>4698</v>
      </c>
      <c r="C310" s="1">
        <f>626+20</f>
        <v>646</v>
      </c>
      <c r="D310" s="1">
        <f>566+317+127+16+20</f>
        <v>1046</v>
      </c>
      <c r="E310" s="1">
        <f>522+120+55+16</f>
        <v>713</v>
      </c>
      <c r="G310" s="1">
        <f>192+40+49+5+15</f>
        <v>301</v>
      </c>
      <c r="H310" s="1">
        <f>190+44+39+11</f>
        <v>284</v>
      </c>
      <c r="I310" s="1">
        <f>136+23+50+9+2</f>
        <v>220</v>
      </c>
      <c r="K310" s="1">
        <f>952+39</f>
        <v>991</v>
      </c>
      <c r="L310" s="1">
        <f>88+80+49+8+11</f>
        <v>236</v>
      </c>
      <c r="M310" s="1">
        <f>145+52+49+9+6</f>
        <v>261</v>
      </c>
    </row>
    <row r="311" spans="1:13" x14ac:dyDescent="0.25">
      <c r="A311" s="1" t="s">
        <v>141</v>
      </c>
      <c r="B311" s="1">
        <f t="shared" si="27"/>
        <v>4508</v>
      </c>
      <c r="C311" s="1">
        <f>583+20</f>
        <v>603</v>
      </c>
      <c r="D311" s="1">
        <f>536+323+108+21+22</f>
        <v>1010</v>
      </c>
      <c r="E311" s="1">
        <f>493+104+56+13</f>
        <v>666</v>
      </c>
      <c r="G311" s="1">
        <f>175+38+47+5+25</f>
        <v>290</v>
      </c>
      <c r="H311" s="1">
        <f>175+41+43+17</f>
        <v>276</v>
      </c>
      <c r="I311" s="1">
        <f>118+19+48+9+4</f>
        <v>198</v>
      </c>
      <c r="K311" s="1">
        <f>961+48</f>
        <v>1009</v>
      </c>
      <c r="L311" s="1">
        <f>95+58+48+5+11</f>
        <v>217</v>
      </c>
      <c r="M311" s="1">
        <f>147+50+33+5+4</f>
        <v>239</v>
      </c>
    </row>
    <row r="312" spans="1:13" x14ac:dyDescent="0.25">
      <c r="A312" s="1" t="s">
        <v>142</v>
      </c>
      <c r="B312" s="1">
        <f t="shared" si="27"/>
        <v>4889</v>
      </c>
      <c r="C312" s="1">
        <f>711+17</f>
        <v>728</v>
      </c>
      <c r="D312" s="1">
        <f>623+318+103+30+15</f>
        <v>1089</v>
      </c>
      <c r="E312" s="1">
        <f>543+118+47+15</f>
        <v>723</v>
      </c>
      <c r="G312" s="1">
        <f>207+41+29+3+30</f>
        <v>310</v>
      </c>
      <c r="H312" s="1">
        <f>221+41+38+5</f>
        <v>305</v>
      </c>
      <c r="I312" s="1">
        <f>150+25+28+6+4</f>
        <v>213</v>
      </c>
      <c r="K312" s="1">
        <f>946+38</f>
        <v>984</v>
      </c>
      <c r="L312" s="1">
        <f>120+88+54+6+21</f>
        <v>289</v>
      </c>
      <c r="M312" s="1">
        <f>148+66+21+3+10</f>
        <v>248</v>
      </c>
    </row>
    <row r="313" spans="1:13" x14ac:dyDescent="0.25">
      <c r="A313" s="1" t="s">
        <v>144</v>
      </c>
      <c r="B313" s="1">
        <f t="shared" si="27"/>
        <v>4997</v>
      </c>
      <c r="C313" s="1">
        <f>727+18</f>
        <v>745</v>
      </c>
      <c r="D313" s="1">
        <f>608+318+111+34+9</f>
        <v>1080</v>
      </c>
      <c r="E313" s="1">
        <f>527+120+63+18</f>
        <v>728</v>
      </c>
      <c r="G313" s="1">
        <f>211+60+48+3+36</f>
        <v>358</v>
      </c>
      <c r="H313" s="1">
        <f>213+54+40+6</f>
        <v>313</v>
      </c>
      <c r="I313" s="1">
        <f>142+28+29+6+4</f>
        <v>209</v>
      </c>
      <c r="K313" s="1">
        <f>985+43</f>
        <v>1028</v>
      </c>
      <c r="L313" s="1">
        <f>113+84+41+7+18</f>
        <v>263</v>
      </c>
      <c r="M313" s="1">
        <f>162+83+18+3+7</f>
        <v>273</v>
      </c>
    </row>
    <row r="314" spans="1:13" x14ac:dyDescent="0.25">
      <c r="A314" s="1" t="s">
        <v>148</v>
      </c>
      <c r="B314" s="1">
        <f t="shared" si="27"/>
        <v>4860</v>
      </c>
      <c r="C314" s="1">
        <f>706+19</f>
        <v>725</v>
      </c>
      <c r="D314" s="1">
        <f>607+326+118+36+16</f>
        <v>1103</v>
      </c>
      <c r="E314" s="1">
        <f>540+134+65+12</f>
        <v>751</v>
      </c>
      <c r="G314" s="1">
        <f>211+62+53+2+28</f>
        <v>356</v>
      </c>
      <c r="H314" s="1">
        <f>197+58+52+7</f>
        <v>314</v>
      </c>
      <c r="I314" s="1">
        <f>157+24+28+6+5</f>
        <v>220</v>
      </c>
      <c r="K314" s="1">
        <f>892+36</f>
        <v>928</v>
      </c>
      <c r="L314" s="1">
        <f>100+67+49+4+20</f>
        <v>240</v>
      </c>
      <c r="M314" s="1">
        <f>120+61+27+4+11</f>
        <v>223</v>
      </c>
    </row>
    <row r="315" spans="1:13" x14ac:dyDescent="0.25">
      <c r="A315" s="1" t="s">
        <v>151</v>
      </c>
      <c r="B315" s="1">
        <f t="shared" si="27"/>
        <v>5000</v>
      </c>
      <c r="C315" s="1">
        <f>694+19</f>
        <v>713</v>
      </c>
      <c r="D315" s="1">
        <f>598+318+119+25+19</f>
        <v>1079</v>
      </c>
      <c r="E315" s="1">
        <f>537+120+75+12</f>
        <v>744</v>
      </c>
      <c r="G315" s="1">
        <f>209+57+42+3+32</f>
        <v>343</v>
      </c>
      <c r="H315" s="1">
        <f>175+50+42+9</f>
        <v>276</v>
      </c>
      <c r="I315" s="1">
        <f>150+20+28+5+6</f>
        <v>209</v>
      </c>
      <c r="K315" s="1">
        <f>969+50</f>
        <v>1019</v>
      </c>
      <c r="L315" s="1">
        <f>143+78+81+4+16</f>
        <v>322</v>
      </c>
      <c r="M315" s="1">
        <f>168+75+42+4+6</f>
        <v>295</v>
      </c>
    </row>
    <row r="323" spans="1:12" x14ac:dyDescent="0.25">
      <c r="B323" s="3" t="s">
        <v>80</v>
      </c>
      <c r="C323" s="1" t="s">
        <v>83</v>
      </c>
      <c r="D323" s="1" t="s">
        <v>86</v>
      </c>
      <c r="G323" s="1" t="s">
        <v>101</v>
      </c>
      <c r="H323" s="1" t="s">
        <v>86</v>
      </c>
      <c r="K323" s="2" t="s">
        <v>84</v>
      </c>
      <c r="L323" s="1" t="s">
        <v>86</v>
      </c>
    </row>
    <row r="324" spans="1:12" x14ac:dyDescent="0.25">
      <c r="A324" s="1" t="s">
        <v>76</v>
      </c>
      <c r="B324" s="1">
        <f t="shared" ref="B324:B329" si="28">C324+G324+K324</f>
        <v>41</v>
      </c>
      <c r="C324" s="1">
        <v>1</v>
      </c>
      <c r="D324" s="1">
        <v>100000</v>
      </c>
      <c r="G324" s="1">
        <f>1+1+9+6</f>
        <v>17</v>
      </c>
      <c r="H324" s="1">
        <v>55000</v>
      </c>
      <c r="K324" s="1">
        <f>7+2+9+5</f>
        <v>23</v>
      </c>
      <c r="L324" s="1">
        <v>36666</v>
      </c>
    </row>
    <row r="325" spans="1:12" x14ac:dyDescent="0.25">
      <c r="A325" s="1" t="s">
        <v>92</v>
      </c>
      <c r="B325" s="1">
        <f t="shared" si="28"/>
        <v>311</v>
      </c>
      <c r="C325" s="1">
        <f>4+4+9+2</f>
        <v>19</v>
      </c>
      <c r="D325" s="1">
        <v>17888</v>
      </c>
      <c r="G325" s="1">
        <f>21+34+59+4+26</f>
        <v>144</v>
      </c>
      <c r="H325" s="1">
        <v>16400</v>
      </c>
      <c r="K325" s="1">
        <f>32+42+54+9+11</f>
        <v>148</v>
      </c>
      <c r="L325" s="1">
        <v>17000</v>
      </c>
    </row>
    <row r="326" spans="1:12" x14ac:dyDescent="0.25">
      <c r="A326" s="1" t="s">
        <v>102</v>
      </c>
      <c r="B326" s="1">
        <f t="shared" si="28"/>
        <v>318</v>
      </c>
      <c r="C326" s="1">
        <f>2+6+9+1+2</f>
        <v>20</v>
      </c>
      <c r="D326" s="1">
        <v>18200</v>
      </c>
      <c r="G326" s="1">
        <f>23+31+60+4+21</f>
        <v>139</v>
      </c>
      <c r="H326" s="1">
        <v>18000</v>
      </c>
      <c r="K326" s="1">
        <f>37+40+62+10+10</f>
        <v>159</v>
      </c>
      <c r="L326" s="1">
        <v>20400</v>
      </c>
    </row>
    <row r="327" spans="1:12" x14ac:dyDescent="0.25">
      <c r="A327" s="1" t="s">
        <v>103</v>
      </c>
      <c r="B327" s="1">
        <f t="shared" si="28"/>
        <v>351</v>
      </c>
      <c r="C327" s="1">
        <f>2+2+8+1+2</f>
        <v>15</v>
      </c>
      <c r="D327" s="1">
        <v>17000</v>
      </c>
      <c r="G327" s="1">
        <f>28+37+63+6+13</f>
        <v>147</v>
      </c>
      <c r="H327" s="1">
        <v>18000</v>
      </c>
      <c r="K327" s="1">
        <f>39+47+81+10+12</f>
        <v>189</v>
      </c>
      <c r="L327" s="1">
        <v>19666</v>
      </c>
    </row>
    <row r="328" spans="1:12" x14ac:dyDescent="0.25">
      <c r="A328" s="1" t="s">
        <v>118</v>
      </c>
      <c r="B328" s="1">
        <f t="shared" si="28"/>
        <v>1065</v>
      </c>
      <c r="C328" s="1">
        <f>36+20+26+4+10</f>
        <v>96</v>
      </c>
      <c r="D328" s="1">
        <v>10400</v>
      </c>
      <c r="G328" s="1">
        <f>193+97+109+5+31</f>
        <v>435</v>
      </c>
      <c r="H328" s="1">
        <v>10199</v>
      </c>
      <c r="K328" s="1">
        <f>233+114+128+9+50</f>
        <v>534</v>
      </c>
      <c r="L328" s="1">
        <v>12080</v>
      </c>
    </row>
    <row r="329" spans="1:12" x14ac:dyDescent="0.25">
      <c r="A329" s="1" t="s">
        <v>122</v>
      </c>
      <c r="B329" s="1">
        <f t="shared" si="28"/>
        <v>880</v>
      </c>
      <c r="C329" s="1">
        <f>26+16+25+3+7</f>
        <v>77</v>
      </c>
      <c r="D329" s="1">
        <v>12800</v>
      </c>
      <c r="G329" s="1">
        <f>159+73+97+4+20</f>
        <v>353</v>
      </c>
      <c r="H329" s="1">
        <v>11840</v>
      </c>
      <c r="K329" s="1">
        <f>188+94+106+10+52</f>
        <v>450</v>
      </c>
      <c r="L329" s="1">
        <v>14364</v>
      </c>
    </row>
    <row r="330" spans="1:12" x14ac:dyDescent="0.25">
      <c r="A330" s="1" t="s">
        <v>128</v>
      </c>
      <c r="B330" s="1">
        <f t="shared" ref="B330:B335" si="29">C330+G330+K330</f>
        <v>1096</v>
      </c>
      <c r="C330" s="1">
        <f>36+17+29+4</f>
        <v>86</v>
      </c>
      <c r="D330" s="1">
        <v>11700</v>
      </c>
      <c r="G330" s="1">
        <f>204+104+132+5+26</f>
        <v>471</v>
      </c>
      <c r="H330" s="1">
        <v>11099</v>
      </c>
      <c r="K330" s="1">
        <f>222+119+145+10+43</f>
        <v>539</v>
      </c>
      <c r="L330" s="1">
        <v>14222</v>
      </c>
    </row>
    <row r="331" spans="1:12" x14ac:dyDescent="0.25">
      <c r="A331" s="1" t="s">
        <v>130</v>
      </c>
      <c r="B331" s="1">
        <f t="shared" si="29"/>
        <v>1279</v>
      </c>
      <c r="C331" s="1">
        <f>40+21+42+11</f>
        <v>114</v>
      </c>
      <c r="D331" s="1">
        <v>11555</v>
      </c>
      <c r="G331" s="1">
        <f>210+135+141+6+21</f>
        <v>513</v>
      </c>
      <c r="H331" s="1">
        <v>12120</v>
      </c>
      <c r="K331" s="1">
        <f>264+161+167+9+51</f>
        <v>652</v>
      </c>
      <c r="L331" s="1">
        <v>15230</v>
      </c>
    </row>
    <row r="332" spans="1:12" x14ac:dyDescent="0.25">
      <c r="A332" s="1" t="s">
        <v>131</v>
      </c>
      <c r="B332" s="1">
        <f t="shared" si="29"/>
        <v>1496</v>
      </c>
      <c r="C332" s="1">
        <f>40+25+35+2+13</f>
        <v>115</v>
      </c>
      <c r="D332" s="1">
        <v>10800</v>
      </c>
      <c r="G332" s="1">
        <f>281+141+135+12+24</f>
        <v>593</v>
      </c>
      <c r="H332" s="1">
        <v>11885</v>
      </c>
      <c r="K332" s="1">
        <f>323+185+212+10+58</f>
        <v>788</v>
      </c>
      <c r="L332" s="1">
        <v>14789</v>
      </c>
    </row>
    <row r="333" spans="1:12" x14ac:dyDescent="0.25">
      <c r="A333" s="1" t="s">
        <v>132</v>
      </c>
      <c r="B333" s="1">
        <f t="shared" si="29"/>
        <v>1618</v>
      </c>
      <c r="C333" s="1">
        <f>50+26+44+1+10</f>
        <v>131</v>
      </c>
      <c r="D333" s="1">
        <v>10289</v>
      </c>
      <c r="G333" s="1">
        <f>295+139+163+13+41</f>
        <v>651</v>
      </c>
      <c r="H333" s="1">
        <v>11489</v>
      </c>
      <c r="K333" s="1">
        <f>382+179+201+8+66</f>
        <v>836</v>
      </c>
      <c r="L333" s="1">
        <v>14000</v>
      </c>
    </row>
    <row r="334" spans="1:12" x14ac:dyDescent="0.25">
      <c r="A334" s="1" t="s">
        <v>133</v>
      </c>
      <c r="B334" s="1">
        <f t="shared" si="29"/>
        <v>1672</v>
      </c>
      <c r="C334" s="1">
        <f>52+24+45+2+15</f>
        <v>138</v>
      </c>
      <c r="D334" s="1">
        <v>10332</v>
      </c>
      <c r="G334" s="1">
        <f>300+139+174+18+33</f>
        <v>664</v>
      </c>
      <c r="H334" s="1">
        <v>11450</v>
      </c>
      <c r="K334" s="1">
        <f>402+189+207+7+65</f>
        <v>870</v>
      </c>
      <c r="L334" s="1">
        <v>13893</v>
      </c>
    </row>
    <row r="335" spans="1:12" x14ac:dyDescent="0.25">
      <c r="A335" s="1" t="s">
        <v>134</v>
      </c>
      <c r="B335" s="1">
        <f t="shared" si="29"/>
        <v>1583</v>
      </c>
      <c r="C335" s="1">
        <f>41+20+36+4+10</f>
        <v>111</v>
      </c>
      <c r="D335" s="1">
        <v>10777</v>
      </c>
      <c r="G335" s="1">
        <f>279+156+175+21+35</f>
        <v>666</v>
      </c>
      <c r="H335" s="1">
        <v>11400</v>
      </c>
      <c r="K335" s="1">
        <f>337+173+204+12+80</f>
        <v>806</v>
      </c>
      <c r="L335" s="1">
        <v>13959</v>
      </c>
    </row>
    <row r="336" spans="1:12" x14ac:dyDescent="0.25">
      <c r="A336" s="1" t="s">
        <v>135</v>
      </c>
      <c r="B336" s="1">
        <f t="shared" ref="B336:B342" si="30">C336+G336+K336</f>
        <v>1578</v>
      </c>
      <c r="C336" s="1">
        <f>43+18+37+4+9</f>
        <v>111</v>
      </c>
      <c r="D336" s="1">
        <v>11350</v>
      </c>
      <c r="G336" s="1">
        <f>276+139+160+17+27</f>
        <v>619</v>
      </c>
      <c r="H336" s="1">
        <v>11700</v>
      </c>
      <c r="K336" s="1">
        <f>371+181+213+10+73</f>
        <v>848</v>
      </c>
      <c r="L336" s="1">
        <v>14100</v>
      </c>
    </row>
    <row r="337" spans="1:12" x14ac:dyDescent="0.25">
      <c r="A337" s="1" t="s">
        <v>137</v>
      </c>
      <c r="B337" s="1">
        <f t="shared" si="30"/>
        <v>1616</v>
      </c>
      <c r="C337" s="1">
        <f>41+28+51+2+7</f>
        <v>129</v>
      </c>
      <c r="D337" s="1">
        <v>10467</v>
      </c>
      <c r="G337" s="1">
        <f>295+108+152+11+20</f>
        <v>586</v>
      </c>
      <c r="H337" s="1">
        <v>11188</v>
      </c>
      <c r="K337" s="1">
        <f>403+192+217+12+77</f>
        <v>901</v>
      </c>
      <c r="L337" s="1">
        <v>13279</v>
      </c>
    </row>
    <row r="338" spans="1:12" x14ac:dyDescent="0.25">
      <c r="A338" s="1" t="s">
        <v>138</v>
      </c>
      <c r="B338" s="1">
        <f t="shared" si="30"/>
        <v>1417</v>
      </c>
      <c r="C338" s="1">
        <f>42+23+38+3+5</f>
        <v>111</v>
      </c>
      <c r="D338" s="1">
        <v>10889</v>
      </c>
      <c r="G338" s="1">
        <f>278+101+130+8+18</f>
        <v>535</v>
      </c>
      <c r="H338" s="1">
        <v>11449</v>
      </c>
      <c r="K338" s="1">
        <f>355+182+151+70+13</f>
        <v>771</v>
      </c>
      <c r="L338" s="1">
        <v>13700</v>
      </c>
    </row>
    <row r="339" spans="1:12" x14ac:dyDescent="0.25">
      <c r="A339" s="1" t="s">
        <v>140</v>
      </c>
      <c r="B339" s="1">
        <f t="shared" si="30"/>
        <v>1530</v>
      </c>
      <c r="C339" s="1">
        <f>55+26+44+2+10</f>
        <v>137</v>
      </c>
      <c r="D339" s="1">
        <v>10890</v>
      </c>
      <c r="G339" s="1">
        <f>256+127+127+6+26</f>
        <v>542</v>
      </c>
      <c r="H339" s="1">
        <v>11800</v>
      </c>
      <c r="K339" s="1">
        <f>414+181+180+11+65</f>
        <v>851</v>
      </c>
      <c r="L339" s="1">
        <v>13950</v>
      </c>
    </row>
    <row r="340" spans="1:12" x14ac:dyDescent="0.25">
      <c r="A340" s="1" t="s">
        <v>141</v>
      </c>
      <c r="B340" s="1">
        <f t="shared" si="30"/>
        <v>1436</v>
      </c>
      <c r="C340" s="1">
        <f>44+21+34+2+9</f>
        <v>110</v>
      </c>
      <c r="D340" s="1">
        <v>10800</v>
      </c>
      <c r="G340" s="1">
        <f>237+99+118+8+21</f>
        <v>483</v>
      </c>
      <c r="H340" s="1">
        <v>12000</v>
      </c>
      <c r="K340" s="1">
        <f>417+168+175+14+69</f>
        <v>843</v>
      </c>
      <c r="L340" s="1">
        <v>13993</v>
      </c>
    </row>
    <row r="341" spans="1:12" x14ac:dyDescent="0.25">
      <c r="A341" s="1" t="s">
        <v>142</v>
      </c>
      <c r="B341" s="1">
        <f t="shared" si="30"/>
        <v>1830</v>
      </c>
      <c r="C341" s="1">
        <f>62+25+55+4+10</f>
        <v>156</v>
      </c>
      <c r="D341" s="1">
        <v>10400</v>
      </c>
      <c r="G341" s="1">
        <f>309+151+159+11+34</f>
        <v>664</v>
      </c>
      <c r="H341" s="1">
        <v>10950</v>
      </c>
      <c r="K341" s="1">
        <f>475+223+221+16+75</f>
        <v>1010</v>
      </c>
      <c r="L341" s="1">
        <v>12600</v>
      </c>
    </row>
    <row r="342" spans="1:12" x14ac:dyDescent="0.25">
      <c r="A342" s="1" t="s">
        <v>144</v>
      </c>
      <c r="B342" s="1">
        <f t="shared" si="30"/>
        <v>1667</v>
      </c>
      <c r="C342" s="1">
        <f>57+23+53+3+9</f>
        <v>145</v>
      </c>
      <c r="D342" s="1">
        <v>10300</v>
      </c>
      <c r="G342" s="1">
        <f>279+119+166+10+29</f>
        <v>603</v>
      </c>
      <c r="H342" s="1">
        <v>10650</v>
      </c>
      <c r="K342" s="1">
        <f>439+195+186+17+82</f>
        <v>919</v>
      </c>
      <c r="L342" s="1">
        <v>12500</v>
      </c>
    </row>
    <row r="343" spans="1:12" x14ac:dyDescent="0.25">
      <c r="A343" s="1" t="s">
        <v>148</v>
      </c>
      <c r="B343" s="1">
        <f>C343+G343+K343</f>
        <v>1590</v>
      </c>
      <c r="C343" s="1">
        <f>54+29+54+2+10</f>
        <v>149</v>
      </c>
      <c r="D343" s="1">
        <v>9208</v>
      </c>
      <c r="G343" s="1">
        <f>295+114+140+14+19</f>
        <v>582</v>
      </c>
      <c r="H343" s="1">
        <v>10270</v>
      </c>
      <c r="K343" s="1">
        <f>411+180+179+16+73</f>
        <v>859</v>
      </c>
      <c r="L343" s="1">
        <v>12295</v>
      </c>
    </row>
    <row r="344" spans="1:12" x14ac:dyDescent="0.25">
      <c r="A344" s="1" t="s">
        <v>151</v>
      </c>
      <c r="B344" s="1">
        <f>C344+G344+K344</f>
        <v>1648</v>
      </c>
      <c r="C344" s="1">
        <f>56+29+45+3+11</f>
        <v>144</v>
      </c>
      <c r="D344" s="1">
        <v>8900</v>
      </c>
      <c r="G344" s="1">
        <f>308+122+148+10+22</f>
        <v>610</v>
      </c>
      <c r="H344" s="1">
        <v>9989</v>
      </c>
      <c r="K344" s="1">
        <f>436+192+170+12+84</f>
        <v>894</v>
      </c>
      <c r="L344" s="1">
        <v>12000</v>
      </c>
    </row>
    <row r="349" spans="1:12" x14ac:dyDescent="0.25">
      <c r="B349" s="3" t="s">
        <v>81</v>
      </c>
      <c r="C349" s="1" t="s">
        <v>95</v>
      </c>
      <c r="D349" s="1" t="s">
        <v>129</v>
      </c>
      <c r="G349" s="1" t="s">
        <v>87</v>
      </c>
      <c r="H349" s="1" t="s">
        <v>94</v>
      </c>
      <c r="K349" s="2" t="s">
        <v>93</v>
      </c>
      <c r="L349" s="2" t="s">
        <v>88</v>
      </c>
    </row>
    <row r="350" spans="1:12" x14ac:dyDescent="0.25">
      <c r="A350" s="1" t="s">
        <v>76</v>
      </c>
      <c r="B350" s="1">
        <f>C350+D350+G350+H350+K350+L350</f>
        <v>130</v>
      </c>
      <c r="C350" s="1">
        <f>1+1</f>
        <v>2</v>
      </c>
      <c r="D350" s="1">
        <f>2+3+2</f>
        <v>7</v>
      </c>
      <c r="G350" s="1">
        <f>6+22+7</f>
        <v>35</v>
      </c>
      <c r="H350" s="1">
        <f>33+2</f>
        <v>35</v>
      </c>
      <c r="K350" s="1">
        <f>4+5+13</f>
        <v>22</v>
      </c>
      <c r="L350" s="1">
        <f>6+8+14+1</f>
        <v>29</v>
      </c>
    </row>
    <row r="351" spans="1:12" x14ac:dyDescent="0.25">
      <c r="A351" s="1" t="s">
        <v>92</v>
      </c>
      <c r="B351" s="1">
        <f>C351+D351+G351+H351+K351+L351</f>
        <v>773</v>
      </c>
      <c r="C351" s="1">
        <f>5+9+14</f>
        <v>28</v>
      </c>
      <c r="D351" s="1">
        <f>6+11+14+2</f>
        <v>33</v>
      </c>
      <c r="G351" s="1">
        <f>20+37+79+4+24</f>
        <v>164</v>
      </c>
      <c r="H351" s="1">
        <f>156+6</f>
        <v>162</v>
      </c>
      <c r="K351" s="1">
        <f>49+41+51+10+8</f>
        <v>159</v>
      </c>
      <c r="L351" s="1">
        <f>37+75+72+5+38</f>
        <v>227</v>
      </c>
    </row>
    <row r="352" spans="1:12" x14ac:dyDescent="0.25">
      <c r="A352" s="1" t="s">
        <v>102</v>
      </c>
      <c r="B352" s="1">
        <f>C352+D352+H352+G352+K352+L352</f>
        <v>768</v>
      </c>
      <c r="C352" s="1">
        <f>5+12+9</f>
        <v>26</v>
      </c>
      <c r="D352" s="1">
        <f>10+10+12+2+2</f>
        <v>36</v>
      </c>
      <c r="G352" s="1">
        <f>24+28+108+5+25</f>
        <v>190</v>
      </c>
      <c r="H352" s="1">
        <f>160+7</f>
        <v>167</v>
      </c>
      <c r="K352" s="1">
        <f>66+42+37+4+10</f>
        <v>159</v>
      </c>
      <c r="L352" s="1">
        <f>39+48+68+4+31</f>
        <v>190</v>
      </c>
    </row>
    <row r="353" spans="1:12" x14ac:dyDescent="0.25">
      <c r="A353" s="1" t="s">
        <v>103</v>
      </c>
      <c r="B353" s="1">
        <f>C353+D353+G353+H353+K353+L353</f>
        <v>860</v>
      </c>
      <c r="C353" s="1">
        <f>8+7+19+3</f>
        <v>37</v>
      </c>
      <c r="D353" s="1">
        <f>10+11+13+1</f>
        <v>35</v>
      </c>
      <c r="G353" s="1">
        <f>15+37+83+4+19</f>
        <v>158</v>
      </c>
      <c r="H353" s="1">
        <f>152+3</f>
        <v>155</v>
      </c>
      <c r="K353" s="1">
        <f>93+50+62+2+4</f>
        <v>211</v>
      </c>
      <c r="L353" s="1">
        <f>44+97+86+7+30</f>
        <v>264</v>
      </c>
    </row>
    <row r="354" spans="1:12" x14ac:dyDescent="0.25">
      <c r="A354" s="1" t="s">
        <v>118</v>
      </c>
      <c r="B354" s="1">
        <f>C354+G354+K354+D354+H354+L354</f>
        <v>1581</v>
      </c>
      <c r="C354" s="1">
        <f>34+25+24+8+2</f>
        <v>93</v>
      </c>
      <c r="D354" s="1">
        <f>51+25+36+6+4</f>
        <v>122</v>
      </c>
      <c r="G354" s="1">
        <f>62+82+86+5+25</f>
        <v>260</v>
      </c>
      <c r="H354" s="1">
        <f>237+11</f>
        <v>248</v>
      </c>
      <c r="K354" s="1">
        <f>141+85+69+6+8</f>
        <v>309</v>
      </c>
      <c r="L354" s="1">
        <f>171+130+172+6+70</f>
        <v>549</v>
      </c>
    </row>
    <row r="355" spans="1:12" x14ac:dyDescent="0.25">
      <c r="A355" s="1" t="s">
        <v>122</v>
      </c>
      <c r="B355" s="1">
        <f t="shared" ref="B355:B360" si="31">C355+D355+G355+H355+K355+L355</f>
        <v>1040</v>
      </c>
      <c r="C355" s="1">
        <f>24+14+14+7+2</f>
        <v>61</v>
      </c>
      <c r="D355" s="1">
        <f>44+16+19+4+6</f>
        <v>89</v>
      </c>
      <c r="G355" s="1">
        <f>43+40+50+3+14</f>
        <v>150</v>
      </c>
      <c r="H355" s="1">
        <f>171+9</f>
        <v>180</v>
      </c>
      <c r="K355" s="1">
        <f>111+35+41+1+11</f>
        <v>199</v>
      </c>
      <c r="L355" s="1">
        <f>118+79+94+8+62</f>
        <v>361</v>
      </c>
    </row>
    <row r="356" spans="1:12" x14ac:dyDescent="0.25">
      <c r="A356" s="1" t="s">
        <v>128</v>
      </c>
      <c r="B356" s="1">
        <f t="shared" si="31"/>
        <v>1345</v>
      </c>
      <c r="C356" s="1">
        <f>29+15+12+7+2</f>
        <v>65</v>
      </c>
      <c r="D356" s="1">
        <f>34+22+15+6+5</f>
        <v>82</v>
      </c>
      <c r="G356" s="1">
        <f>36+68+89+4+17</f>
        <v>214</v>
      </c>
      <c r="H356" s="1">
        <f>207+10</f>
        <v>217</v>
      </c>
      <c r="K356" s="1">
        <f>133+57+60+9+8</f>
        <v>267</v>
      </c>
      <c r="L356" s="1">
        <f>172+118+141+9+60</f>
        <v>500</v>
      </c>
    </row>
    <row r="357" spans="1:12" x14ac:dyDescent="0.25">
      <c r="A357" s="1" t="s">
        <v>130</v>
      </c>
      <c r="B357" s="1">
        <f t="shared" si="31"/>
        <v>1538</v>
      </c>
      <c r="C357" s="1">
        <f>22+17+14+3+1</f>
        <v>57</v>
      </c>
      <c r="D357" s="1">
        <f>37+33+25+5+4</f>
        <v>104</v>
      </c>
      <c r="G357" s="1">
        <f>61+76+62+4+14</f>
        <v>217</v>
      </c>
      <c r="H357" s="1">
        <f>237+9</f>
        <v>246</v>
      </c>
      <c r="K357" s="1">
        <f>155+78+55+10+12</f>
        <v>310</v>
      </c>
      <c r="L357" s="1">
        <f>224+156+144+9+71</f>
        <v>604</v>
      </c>
    </row>
    <row r="358" spans="1:12" x14ac:dyDescent="0.25">
      <c r="A358" s="1" t="s">
        <v>131</v>
      </c>
      <c r="B358" s="1">
        <f t="shared" si="31"/>
        <v>1886</v>
      </c>
      <c r="C358" s="1">
        <f>50+21+45+5+2</f>
        <v>123</v>
      </c>
      <c r="D358" s="1">
        <f>67+38+39+6+6</f>
        <v>156</v>
      </c>
      <c r="G358" s="1">
        <f>89+60+107+7+15</f>
        <v>278</v>
      </c>
      <c r="H358" s="1">
        <f>251+5</f>
        <v>256</v>
      </c>
      <c r="K358" s="1">
        <f>169+83+94+8+12</f>
        <v>366</v>
      </c>
      <c r="L358" s="1">
        <f>283+180+170+10+64</f>
        <v>707</v>
      </c>
    </row>
    <row r="359" spans="1:12" x14ac:dyDescent="0.25">
      <c r="A359" s="1" t="s">
        <v>132</v>
      </c>
      <c r="B359" s="1">
        <f t="shared" si="31"/>
        <v>2150</v>
      </c>
      <c r="C359" s="1">
        <f>62+35+53+7+1</f>
        <v>158</v>
      </c>
      <c r="D359" s="1">
        <f>78+52+57+5+7</f>
        <v>199</v>
      </c>
      <c r="G359" s="1">
        <f>103+72+127+5+10</f>
        <v>317</v>
      </c>
      <c r="H359" s="1">
        <f>260+4</f>
        <v>264</v>
      </c>
      <c r="K359" s="1">
        <f>200+82+112+8+14</f>
        <v>416</v>
      </c>
      <c r="L359" s="1">
        <f>320+218+195+13+50</f>
        <v>796</v>
      </c>
    </row>
    <row r="360" spans="1:12" x14ac:dyDescent="0.25">
      <c r="A360" s="1" t="s">
        <v>133</v>
      </c>
      <c r="B360" s="1">
        <f t="shared" si="31"/>
        <v>1918</v>
      </c>
      <c r="C360" s="1">
        <f>48+28+39+8</f>
        <v>123</v>
      </c>
      <c r="D360" s="1">
        <f>66+39+54+6+6</f>
        <v>171</v>
      </c>
      <c r="G360" s="1">
        <f>87+65+71+7+14</f>
        <v>244</v>
      </c>
      <c r="H360" s="1">
        <f>271+9</f>
        <v>280</v>
      </c>
      <c r="K360" s="1">
        <f>181+56+123+8+17</f>
        <v>385</v>
      </c>
      <c r="L360" s="1">
        <f>289+188+164+9+65</f>
        <v>715</v>
      </c>
    </row>
    <row r="361" spans="1:12" x14ac:dyDescent="0.25">
      <c r="A361" s="1" t="s">
        <v>134</v>
      </c>
      <c r="B361" s="1">
        <f>C361+D361+G361+H361+K361+L361</f>
        <v>1921</v>
      </c>
      <c r="C361" s="1">
        <f>58+29+38+5+1</f>
        <v>131</v>
      </c>
      <c r="D361" s="1">
        <f>69+37+47+5+6</f>
        <v>164</v>
      </c>
      <c r="G361" s="1">
        <f>87+72+92+8+19</f>
        <v>278</v>
      </c>
      <c r="H361" s="1">
        <f>254+11</f>
        <v>265</v>
      </c>
      <c r="K361" s="1">
        <f>187+75+97+5+9</f>
        <v>373</v>
      </c>
      <c r="L361" s="1">
        <f>287+175+187+9+52</f>
        <v>710</v>
      </c>
    </row>
    <row r="362" spans="1:12" x14ac:dyDescent="0.25">
      <c r="A362" s="1" t="s">
        <v>135</v>
      </c>
      <c r="B362" s="1">
        <f>C362+D362+G362+H362+K362+L362</f>
        <v>1821</v>
      </c>
      <c r="C362" s="1">
        <f>45+25+31+5</f>
        <v>106</v>
      </c>
      <c r="D362" s="1">
        <f>60+33+32+6+5</f>
        <v>136</v>
      </c>
      <c r="G362" s="1">
        <f>98+78+76+16+16</f>
        <v>284</v>
      </c>
      <c r="H362" s="1">
        <f>255+10</f>
        <v>265</v>
      </c>
      <c r="K362" s="1">
        <f>183+80+75+4+7</f>
        <v>349</v>
      </c>
      <c r="L362" s="1">
        <f>282+184+163+6+46</f>
        <v>681</v>
      </c>
    </row>
    <row r="363" spans="1:12" x14ac:dyDescent="0.25">
      <c r="A363" s="1" t="s">
        <v>137</v>
      </c>
      <c r="B363" s="1">
        <f>C363+D363+G363+H363+K363+L363</f>
        <v>1838</v>
      </c>
      <c r="C363" s="1">
        <f>42+32+23+3+2</f>
        <v>102</v>
      </c>
      <c r="D363" s="1">
        <f>65+29+40+4+6</f>
        <v>144</v>
      </c>
      <c r="G363" s="1">
        <f>102+70+48+5+12</f>
        <v>237</v>
      </c>
      <c r="H363" s="1">
        <f>245+9</f>
        <v>254</v>
      </c>
      <c r="K363" s="1">
        <f>217+82+82+7+7</f>
        <v>395</v>
      </c>
      <c r="L363" s="1">
        <f>326+200+139+9+32</f>
        <v>706</v>
      </c>
    </row>
    <row r="364" spans="1:12" x14ac:dyDescent="0.25">
      <c r="A364" s="1" t="s">
        <v>138</v>
      </c>
      <c r="B364" s="1">
        <f>C364+D364+G364+H364+K364+L364</f>
        <v>1570</v>
      </c>
      <c r="C364" s="1">
        <f>40+29+16+2+3</f>
        <v>90</v>
      </c>
      <c r="D364" s="1">
        <f>61+30+6+37+4</f>
        <v>138</v>
      </c>
      <c r="G364" s="1">
        <f>91+49+45+11+3</f>
        <v>199</v>
      </c>
      <c r="H364" s="1">
        <f>233+7</f>
        <v>240</v>
      </c>
      <c r="K364" s="1">
        <f>193+63+74+7+6</f>
        <v>343</v>
      </c>
      <c r="L364" s="1">
        <f>259+141+132+6+22</f>
        <v>560</v>
      </c>
    </row>
    <row r="365" spans="1:12" x14ac:dyDescent="0.25">
      <c r="A365" s="1" t="s">
        <v>139</v>
      </c>
      <c r="B365" s="1">
        <f>C365+D365+G365+H365+K365+L365</f>
        <v>1741</v>
      </c>
      <c r="C365" s="1">
        <f>49+25+14+2+1</f>
        <v>91</v>
      </c>
      <c r="D365" s="1">
        <f>76+24+31+3+6</f>
        <v>140</v>
      </c>
      <c r="G365" s="1">
        <f>98+59+42+5+8</f>
        <v>212</v>
      </c>
      <c r="H365" s="1">
        <f>208+8</f>
        <v>216</v>
      </c>
      <c r="K365" s="1">
        <f>216+76+54+9+7</f>
        <v>362</v>
      </c>
      <c r="L365" s="1">
        <f>384+172+128+8+28</f>
        <v>720</v>
      </c>
    </row>
    <row r="366" spans="1:12" x14ac:dyDescent="0.25">
      <c r="A366" s="1" t="s">
        <v>141</v>
      </c>
      <c r="B366" s="1">
        <f>C366+G366+D366+H366+K366+L366</f>
        <v>1540</v>
      </c>
      <c r="C366" s="1">
        <f>38+22+16+2</f>
        <v>78</v>
      </c>
      <c r="D366" s="1">
        <f>82+18+32+4+5</f>
        <v>141</v>
      </c>
      <c r="G366" s="1">
        <f>76+43+30+6+7</f>
        <v>162</v>
      </c>
      <c r="H366" s="1">
        <f>199+6</f>
        <v>205</v>
      </c>
      <c r="K366" s="1">
        <f>179+61+53+9+5</f>
        <v>307</v>
      </c>
      <c r="L366" s="1">
        <f>352+145+114+7+29</f>
        <v>647</v>
      </c>
    </row>
    <row r="367" spans="1:12" x14ac:dyDescent="0.25">
      <c r="A367" s="1" t="s">
        <v>142</v>
      </c>
      <c r="B367" s="1">
        <f>C367+D367+G367+H367+K367+L367</f>
        <v>1777</v>
      </c>
      <c r="C367" s="1">
        <f>50+19+12+2+1</f>
        <v>84</v>
      </c>
      <c r="D367" s="1">
        <f>93+11+21+7+6</f>
        <v>138</v>
      </c>
      <c r="G367" s="1">
        <f>94+46+48+7+8</f>
        <v>203</v>
      </c>
      <c r="H367" s="1">
        <f>229+9</f>
        <v>238</v>
      </c>
      <c r="K367" s="1">
        <f>197+54+49+6+4</f>
        <v>310</v>
      </c>
      <c r="L367" s="1">
        <f>409+228+126+6+35</f>
        <v>804</v>
      </c>
    </row>
    <row r="368" spans="1:12" x14ac:dyDescent="0.25">
      <c r="A368" s="1" t="s">
        <v>144</v>
      </c>
      <c r="B368" s="1">
        <f>C368+D368+G368+H368+K368+L368</f>
        <v>1697</v>
      </c>
      <c r="C368" s="1">
        <f>47+17+12+2+1</f>
        <v>79</v>
      </c>
      <c r="D368" s="1">
        <f>92+13+24+6+6</f>
        <v>141</v>
      </c>
      <c r="G368" s="1">
        <f>100+43+48+9+15</f>
        <v>215</v>
      </c>
      <c r="H368" s="1">
        <f>209+6</f>
        <v>215</v>
      </c>
      <c r="K368" s="1">
        <f>178+54+45+7+4</f>
        <v>288</v>
      </c>
      <c r="L368" s="1">
        <f>363+224+126+8+38</f>
        <v>759</v>
      </c>
    </row>
    <row r="369" spans="1:13" x14ac:dyDescent="0.25">
      <c r="A369" s="1" t="s">
        <v>148</v>
      </c>
      <c r="B369" s="1">
        <f>C369+D369+G369+H369+K369+L369</f>
        <v>1596</v>
      </c>
      <c r="C369" s="1">
        <f>37+13+17+1+3</f>
        <v>71</v>
      </c>
      <c r="D369" s="1">
        <f>88+18+30+5+6</f>
        <v>147</v>
      </c>
      <c r="G369" s="1">
        <f>106+33+38+7+6</f>
        <v>190</v>
      </c>
      <c r="H369" s="1">
        <f>240+9</f>
        <v>249</v>
      </c>
      <c r="K369" s="1">
        <f>153+41+44+9+4</f>
        <v>251</v>
      </c>
      <c r="L369" s="1">
        <f>359+178+105+9+37</f>
        <v>688</v>
      </c>
    </row>
    <row r="370" spans="1:13" x14ac:dyDescent="0.25">
      <c r="A370" s="1" t="s">
        <v>151</v>
      </c>
      <c r="B370" s="1">
        <f>C370+D370+G370+H370+K370+L370</f>
        <v>1602</v>
      </c>
      <c r="C370" s="1">
        <f>42+16+21+2+1</f>
        <v>82</v>
      </c>
      <c r="D370" s="1">
        <f>96+21+31+5+5</f>
        <v>158</v>
      </c>
      <c r="G370" s="1">
        <f>97+36+27+8+8</f>
        <v>176</v>
      </c>
      <c r="H370" s="1">
        <f>202+6</f>
        <v>208</v>
      </c>
      <c r="K370" s="1">
        <f>146+44+49+10+6</f>
        <v>255</v>
      </c>
      <c r="L370" s="1">
        <f>357+205+114+8+39</f>
        <v>723</v>
      </c>
    </row>
    <row r="374" spans="1:13" x14ac:dyDescent="0.25">
      <c r="B374" s="3" t="s">
        <v>82</v>
      </c>
      <c r="C374" s="1" t="s">
        <v>96</v>
      </c>
      <c r="D374" s="1" t="s">
        <v>97</v>
      </c>
      <c r="E374" s="1" t="s">
        <v>85</v>
      </c>
      <c r="G374" s="1" t="s">
        <v>98</v>
      </c>
      <c r="H374" s="1" t="s">
        <v>99</v>
      </c>
      <c r="I374" s="1" t="s">
        <v>100</v>
      </c>
      <c r="K374" s="2" t="s">
        <v>89</v>
      </c>
      <c r="L374" s="2" t="s">
        <v>90</v>
      </c>
      <c r="M374" s="2" t="s">
        <v>91</v>
      </c>
    </row>
    <row r="375" spans="1:13" x14ac:dyDescent="0.25">
      <c r="A375" s="1" t="s">
        <v>76</v>
      </c>
      <c r="B375" s="1">
        <f>C375+D375+E375+G375+H375+I375+K375+L375+M375</f>
        <v>484</v>
      </c>
      <c r="C375" s="1">
        <f>1+1</f>
        <v>2</v>
      </c>
      <c r="D375" s="1">
        <f>2+2+6</f>
        <v>10</v>
      </c>
      <c r="E375" s="1">
        <f>1+3+5+2</f>
        <v>11</v>
      </c>
      <c r="G375" s="1">
        <f>30+21+26+6</f>
        <v>83</v>
      </c>
      <c r="H375" s="1">
        <f>12+32+37+23+17</f>
        <v>121</v>
      </c>
      <c r="I375" s="1">
        <f>30+14+21</f>
        <v>65</v>
      </c>
      <c r="K375" s="1">
        <f>32+24+13+2+1</f>
        <v>72</v>
      </c>
      <c r="L375" s="1">
        <f>31+28+18</f>
        <v>77</v>
      </c>
      <c r="M375" s="1">
        <f>1+16+24+2</f>
        <v>43</v>
      </c>
    </row>
    <row r="376" spans="1:13" x14ac:dyDescent="0.25">
      <c r="A376" s="1" t="s">
        <v>92</v>
      </c>
      <c r="B376" s="1">
        <f>C376+D376+E376+G376+H376+I376+K376+L376+M376</f>
        <v>1935</v>
      </c>
      <c r="C376" s="1">
        <f>13+16+12</f>
        <v>41</v>
      </c>
      <c r="D376" s="1">
        <f>12+7+7+3+1</f>
        <v>30</v>
      </c>
      <c r="E376" s="1">
        <f>7+8+14+3</f>
        <v>32</v>
      </c>
      <c r="G376" s="1">
        <f>104+81+69+19+13</f>
        <v>286</v>
      </c>
      <c r="H376" s="1">
        <f>52+155+167+90+62</f>
        <v>526</v>
      </c>
      <c r="I376" s="1">
        <f>154+70+59</f>
        <v>283</v>
      </c>
      <c r="K376" s="1">
        <f>89+79+76+14+11</f>
        <v>269</v>
      </c>
      <c r="L376" s="1">
        <f>108+61+53</f>
        <v>222</v>
      </c>
      <c r="M376" s="1">
        <f>4+66+119+27+30</f>
        <v>246</v>
      </c>
    </row>
    <row r="377" spans="1:13" x14ac:dyDescent="0.25">
      <c r="A377" s="1" t="s">
        <v>102</v>
      </c>
      <c r="B377" s="1">
        <f>C377+D377+E377+H377+G377+I377+K377+L377+M377</f>
        <v>1698</v>
      </c>
      <c r="C377" s="1">
        <f>20+12+8</f>
        <v>40</v>
      </c>
      <c r="D377" s="1">
        <f>18+9+17+2</f>
        <v>46</v>
      </c>
      <c r="E377" s="1">
        <f>14+7+21+7+1</f>
        <v>50</v>
      </c>
      <c r="G377" s="1">
        <f>84+50+45+9+6</f>
        <v>194</v>
      </c>
      <c r="H377" s="1">
        <f>55+147+219+85+57</f>
        <v>563</v>
      </c>
      <c r="I377" s="1">
        <f>140+49+49</f>
        <v>238</v>
      </c>
      <c r="K377" s="1">
        <f>97+57+44+5+8</f>
        <v>211</v>
      </c>
      <c r="L377" s="1">
        <f>119+43+40</f>
        <v>202</v>
      </c>
      <c r="M377" s="1">
        <f>7+38+69+17+23</f>
        <v>154</v>
      </c>
    </row>
    <row r="378" spans="1:13" x14ac:dyDescent="0.25">
      <c r="A378" s="1" t="s">
        <v>103</v>
      </c>
      <c r="B378" s="1">
        <f t="shared" ref="B378:B383" si="32">C378+D378+E378+G378+H378+I378+K378+L378+M378</f>
        <v>2313</v>
      </c>
      <c r="C378" s="1">
        <f>19+21+7</f>
        <v>47</v>
      </c>
      <c r="D378" s="1">
        <f>17+21+10+7+3</f>
        <v>58</v>
      </c>
      <c r="E378" s="1">
        <f>15+24+24+6+1</f>
        <v>70</v>
      </c>
      <c r="G378" s="1">
        <f>128+86+50+9+10</f>
        <v>283</v>
      </c>
      <c r="H378" s="1">
        <f>63+184+233+118+63</f>
        <v>661</v>
      </c>
      <c r="I378" s="1">
        <f>185+86+55</f>
        <v>326</v>
      </c>
      <c r="K378" s="1">
        <f>145+100+84+7+9</f>
        <v>345</v>
      </c>
      <c r="L378" s="1">
        <f>175+75+56</f>
        <v>306</v>
      </c>
      <c r="M378" s="1">
        <f>3+57+103+19+35</f>
        <v>217</v>
      </c>
    </row>
    <row r="379" spans="1:13" x14ac:dyDescent="0.25">
      <c r="A379" s="1" t="s">
        <v>118</v>
      </c>
      <c r="B379" s="1">
        <f t="shared" si="32"/>
        <v>3955</v>
      </c>
      <c r="C379" s="1">
        <f>109+37+18</f>
        <v>164</v>
      </c>
      <c r="D379" s="1">
        <f>66+19+28+5+2</f>
        <v>120</v>
      </c>
      <c r="E379" s="1">
        <f>61+32+40+2+2</f>
        <v>137</v>
      </c>
      <c r="G379" s="1">
        <f>185+74+65+13+7</f>
        <v>344</v>
      </c>
      <c r="H379" s="1">
        <f>215+472+492+227+119</f>
        <v>1525</v>
      </c>
      <c r="I379" s="1">
        <f>256+83+58</f>
        <v>397</v>
      </c>
      <c r="K379" s="1">
        <f>268+111+84+20+16</f>
        <v>499</v>
      </c>
      <c r="L379" s="1">
        <f>230+86+67</f>
        <v>383</v>
      </c>
      <c r="M379" s="1">
        <f>27+88+146+24+101</f>
        <v>386</v>
      </c>
    </row>
    <row r="380" spans="1:13" x14ac:dyDescent="0.25">
      <c r="A380" s="1" t="s">
        <v>122</v>
      </c>
      <c r="B380" s="1">
        <f t="shared" si="32"/>
        <v>2999</v>
      </c>
      <c r="C380" s="1">
        <f>88+13+9</f>
        <v>110</v>
      </c>
      <c r="D380" s="1">
        <f>47+13+12+7+4</f>
        <v>83</v>
      </c>
      <c r="E380" s="1">
        <f>53+21+19+1+2</f>
        <v>96</v>
      </c>
      <c r="G380" s="1">
        <f>172+48+42+3+4</f>
        <v>269</v>
      </c>
      <c r="H380" s="1">
        <f>176+394+434+186+94</f>
        <v>1284</v>
      </c>
      <c r="I380" s="1">
        <f>180+58+30</f>
        <v>268</v>
      </c>
      <c r="K380" s="1">
        <f>202+57+58+9+8</f>
        <v>334</v>
      </c>
      <c r="L380" s="1">
        <f>211+42+43</f>
        <v>296</v>
      </c>
      <c r="M380" s="1">
        <f>16+62+94+13+74</f>
        <v>259</v>
      </c>
    </row>
    <row r="381" spans="1:13" x14ac:dyDescent="0.25">
      <c r="A381" s="1" t="s">
        <v>128</v>
      </c>
      <c r="B381" s="1">
        <f t="shared" si="32"/>
        <v>3506</v>
      </c>
      <c r="C381" s="1">
        <f>106+21+10</f>
        <v>137</v>
      </c>
      <c r="D381" s="1">
        <f>69+24+21+7+7</f>
        <v>128</v>
      </c>
      <c r="E381" s="1">
        <f>59+22+23+2+5</f>
        <v>111</v>
      </c>
      <c r="G381" s="1">
        <f>227+85+61+11+10</f>
        <v>394</v>
      </c>
      <c r="H381" s="1">
        <f>192+399+408+163+80</f>
        <v>1242</v>
      </c>
      <c r="I381" s="1">
        <f>180+58+30</f>
        <v>268</v>
      </c>
      <c r="K381" s="1">
        <f>262+92+88+19+12</f>
        <v>473</v>
      </c>
      <c r="L381" s="1">
        <f>258+68+62</f>
        <v>388</v>
      </c>
      <c r="M381" s="1">
        <f>35+106+122+18+84</f>
        <v>365</v>
      </c>
    </row>
    <row r="382" spans="1:13" x14ac:dyDescent="0.25">
      <c r="A382" s="1" t="s">
        <v>130</v>
      </c>
      <c r="B382" s="1">
        <f t="shared" si="32"/>
        <v>4080</v>
      </c>
      <c r="C382" s="1">
        <f>104+13+19</f>
        <v>136</v>
      </c>
      <c r="D382" s="1">
        <f>73+21+21+7+6</f>
        <v>128</v>
      </c>
      <c r="E382" s="1">
        <f>67+27+27+5</f>
        <v>126</v>
      </c>
      <c r="G382" s="1">
        <f>272+74+46+12+10</f>
        <v>414</v>
      </c>
      <c r="H382" s="1">
        <f>239+412+385+191+93</f>
        <v>1320</v>
      </c>
      <c r="I382" s="1">
        <f>362+108+60</f>
        <v>530</v>
      </c>
      <c r="K382" s="1">
        <f>351+93+91+24+18</f>
        <v>577</v>
      </c>
      <c r="L382" s="1">
        <f>322+86+56</f>
        <v>464</v>
      </c>
      <c r="M382" s="1">
        <f>44+135+116+19+71</f>
        <v>385</v>
      </c>
    </row>
    <row r="383" spans="1:13" x14ac:dyDescent="0.25">
      <c r="A383" s="1" t="s">
        <v>131</v>
      </c>
      <c r="B383" s="1">
        <f t="shared" si="32"/>
        <v>4916</v>
      </c>
      <c r="C383" s="1">
        <f>123+30+29</f>
        <v>182</v>
      </c>
      <c r="D383" s="1">
        <f>94+30+47+11+7</f>
        <v>189</v>
      </c>
      <c r="E383" s="1">
        <f>101+33+47+3+4</f>
        <v>188</v>
      </c>
      <c r="G383" s="1">
        <f>300+87+73+19+7</f>
        <v>486</v>
      </c>
      <c r="H383" s="1">
        <f>258+474+444+184+93</f>
        <v>1453</v>
      </c>
      <c r="I383" s="1">
        <f>402+125+66</f>
        <v>593</v>
      </c>
      <c r="K383" s="1">
        <f>418+131+126+28+15</f>
        <v>718</v>
      </c>
      <c r="L383" s="1">
        <f>370+144+96</f>
        <v>610</v>
      </c>
      <c r="M383" s="1">
        <f>43+154+193+30+77</f>
        <v>497</v>
      </c>
    </row>
    <row r="384" spans="1:13" x14ac:dyDescent="0.25">
      <c r="A384" s="1" t="s">
        <v>132</v>
      </c>
      <c r="B384" s="1">
        <f t="shared" ref="B384:B389" si="33">C384+D384+E384+G384+H384+I384+K384+L384+M384</f>
        <v>5434</v>
      </c>
      <c r="C384" s="1">
        <f>119+53+51</f>
        <v>223</v>
      </c>
      <c r="D384" s="1">
        <f>101+20+52+8+8</f>
        <v>189</v>
      </c>
      <c r="E384" s="1">
        <f>124+37+51+4+6</f>
        <v>222</v>
      </c>
      <c r="G384" s="1">
        <f>337+108+97+16+5</f>
        <v>563</v>
      </c>
      <c r="H384" s="1">
        <f>298+515+471+205+111</f>
        <v>1600</v>
      </c>
      <c r="I384" s="1">
        <f>400+154+85</f>
        <v>639</v>
      </c>
      <c r="K384" s="1">
        <f>476+141+158+27+16</f>
        <v>818</v>
      </c>
      <c r="L384" s="1">
        <f>367+135+126</f>
        <v>628</v>
      </c>
      <c r="M384" s="1">
        <f>44+182+228+29+69</f>
        <v>552</v>
      </c>
    </row>
    <row r="385" spans="1:13" x14ac:dyDescent="0.25">
      <c r="A385" s="1" t="s">
        <v>133</v>
      </c>
      <c r="B385" s="1">
        <f t="shared" si="33"/>
        <v>4935</v>
      </c>
      <c r="C385" s="1">
        <f>143+49+46</f>
        <v>238</v>
      </c>
      <c r="D385" s="1">
        <f>96+22+37+6+6</f>
        <v>167</v>
      </c>
      <c r="E385" s="1">
        <f>111+34+35+3+7</f>
        <v>190</v>
      </c>
      <c r="G385" s="1">
        <f>360+109+91+11+5</f>
        <v>576</v>
      </c>
      <c r="H385" s="1">
        <f>298+537+444+192+88</f>
        <v>1559</v>
      </c>
      <c r="I385" s="1">
        <f>410+148+7</f>
        <v>565</v>
      </c>
      <c r="K385" s="1">
        <f>399+116+121+17+12</f>
        <v>665</v>
      </c>
      <c r="L385" s="1">
        <f>332+116+72</f>
        <v>520</v>
      </c>
      <c r="M385" s="1">
        <f>57+141+193+16+48</f>
        <v>455</v>
      </c>
    </row>
    <row r="386" spans="1:13" x14ac:dyDescent="0.25">
      <c r="A386" s="1" t="s">
        <v>134</v>
      </c>
      <c r="B386" s="1">
        <f t="shared" si="33"/>
        <v>4898</v>
      </c>
      <c r="C386" s="1">
        <f>141+36+27</f>
        <v>204</v>
      </c>
      <c r="D386" s="1">
        <f>106+41+44+7+5</f>
        <v>203</v>
      </c>
      <c r="E386" s="1">
        <f>112+36+23+4+9</f>
        <v>184</v>
      </c>
      <c r="G386" s="1">
        <f>347+76+66+12+7</f>
        <v>508</v>
      </c>
      <c r="H386" s="1">
        <f>295+492+479+180+91</f>
        <v>1537</v>
      </c>
      <c r="I386" s="1">
        <f>397+123+72</f>
        <v>592</v>
      </c>
      <c r="K386" s="1">
        <f>361+130+108+24+14</f>
        <v>637</v>
      </c>
      <c r="L386" s="1">
        <f>375+71+68</f>
        <v>514</v>
      </c>
      <c r="M386" s="1">
        <f>57+158+205+33+66</f>
        <v>519</v>
      </c>
    </row>
    <row r="387" spans="1:13" x14ac:dyDescent="0.25">
      <c r="A387" s="1" t="s">
        <v>135</v>
      </c>
      <c r="B387" s="1">
        <f t="shared" si="33"/>
        <v>4981</v>
      </c>
      <c r="C387" s="1">
        <f>141+39+24</f>
        <v>204</v>
      </c>
      <c r="D387" s="1">
        <f>103+35+30+2+6</f>
        <v>176</v>
      </c>
      <c r="E387" s="1">
        <f>108+23+25+5+13</f>
        <v>174</v>
      </c>
      <c r="G387" s="1">
        <f>364+105+55+16+15</f>
        <v>555</v>
      </c>
      <c r="H387" s="1">
        <f>290+511+466+177+84</f>
        <v>1528</v>
      </c>
      <c r="I387" s="1">
        <f>441+130+66</f>
        <v>637</v>
      </c>
      <c r="K387" s="1">
        <f>419+136+101+19+10</f>
        <v>685</v>
      </c>
      <c r="L387" s="1">
        <f>437+83+81</f>
        <v>601</v>
      </c>
      <c r="M387" s="1">
        <f>54+135+167+14+51</f>
        <v>421</v>
      </c>
    </row>
    <row r="388" spans="1:13" x14ac:dyDescent="0.25">
      <c r="A388" s="1" t="s">
        <v>137</v>
      </c>
      <c r="B388" s="1">
        <f t="shared" si="33"/>
        <v>4795</v>
      </c>
      <c r="C388" s="1">
        <f>164+23+13</f>
        <v>200</v>
      </c>
      <c r="D388" s="1">
        <f>83+35+16+18+10</f>
        <v>162</v>
      </c>
      <c r="E388" s="1">
        <f>134+24+15+5+7</f>
        <v>185</v>
      </c>
      <c r="G388" s="1">
        <f>373+78+43+11+4</f>
        <v>509</v>
      </c>
      <c r="H388" s="1">
        <f>356+517+475+157+75</f>
        <v>1580</v>
      </c>
      <c r="I388" s="1">
        <f>538+98+54</f>
        <v>690</v>
      </c>
      <c r="K388" s="1">
        <f>409+88+92+17+10</f>
        <v>616</v>
      </c>
      <c r="L388" s="1">
        <f>399+77+40</f>
        <v>516</v>
      </c>
      <c r="M388" s="1">
        <f>63+119+96+20+39</f>
        <v>337</v>
      </c>
    </row>
    <row r="389" spans="1:13" x14ac:dyDescent="0.25">
      <c r="A389" s="1" t="s">
        <v>138</v>
      </c>
      <c r="B389" s="1">
        <f t="shared" si="33"/>
        <v>4396</v>
      </c>
      <c r="C389" s="1">
        <f>154+14+12</f>
        <v>180</v>
      </c>
      <c r="D389" s="1">
        <f>74+27+14+9+15</f>
        <v>139</v>
      </c>
      <c r="E389" s="1">
        <f>119+23+12+4+5</f>
        <v>163</v>
      </c>
      <c r="G389" s="1">
        <f>369+55+33+9+3</f>
        <v>469</v>
      </c>
      <c r="H389" s="1">
        <f>345+521+453+157+74</f>
        <v>1550</v>
      </c>
      <c r="I389" s="1">
        <f>439+99+48</f>
        <v>586</v>
      </c>
      <c r="K389" s="1">
        <f>388+55+71+15+9</f>
        <v>538</v>
      </c>
      <c r="L389" s="1">
        <f>389+60+33</f>
        <v>482</v>
      </c>
      <c r="M389" s="1">
        <f>66+100+80+14+29</f>
        <v>289</v>
      </c>
    </row>
    <row r="390" spans="1:13" x14ac:dyDescent="0.25">
      <c r="A390" s="1" t="s">
        <v>139</v>
      </c>
      <c r="B390" s="1">
        <f t="shared" ref="B390:B395" si="34">C390+D390+E390+G390+H390+I390+K390+L390+M390</f>
        <v>4594</v>
      </c>
      <c r="C390" s="1">
        <f>181+25+25</f>
        <v>231</v>
      </c>
      <c r="D390" s="1">
        <f>85+22+21+3+11</f>
        <v>142</v>
      </c>
      <c r="E390" s="1">
        <f>125+16+25+4+10</f>
        <v>180</v>
      </c>
      <c r="G390" s="1">
        <f>378+74+25+9+9</f>
        <v>495</v>
      </c>
      <c r="H390" s="1">
        <f>338+494+442+145+76</f>
        <v>1495</v>
      </c>
      <c r="I390" s="1">
        <f>450+84+50</f>
        <v>584</v>
      </c>
      <c r="K390" s="1">
        <f>423+81+79+19+15</f>
        <v>617</v>
      </c>
      <c r="L390" s="1">
        <f>414+80+36</f>
        <v>530</v>
      </c>
      <c r="M390" s="1">
        <f>77+75+101+19+48</f>
        <v>320</v>
      </c>
    </row>
    <row r="391" spans="1:13" x14ac:dyDescent="0.25">
      <c r="A391" s="1" t="s">
        <v>141</v>
      </c>
      <c r="B391" s="1">
        <f t="shared" si="34"/>
        <v>4266</v>
      </c>
      <c r="C391" s="1">
        <f>183+26+27</f>
        <v>236</v>
      </c>
      <c r="D391" s="1">
        <f>97+24+28+5+12</f>
        <v>166</v>
      </c>
      <c r="E391" s="1">
        <f>119+26+34+5+9</f>
        <v>193</v>
      </c>
      <c r="G391" s="1">
        <f>343+46+31+11+9</f>
        <v>440</v>
      </c>
      <c r="H391" s="1">
        <f>294+470+437+162+73</f>
        <v>1436</v>
      </c>
      <c r="I391" s="1">
        <f>396+68+60</f>
        <v>524</v>
      </c>
      <c r="K391" s="1">
        <f>375+69+59+20+10</f>
        <v>533</v>
      </c>
      <c r="L391" s="1">
        <f>357+75+22</f>
        <v>454</v>
      </c>
      <c r="M391" s="1">
        <f>76+81+87+9+31</f>
        <v>284</v>
      </c>
    </row>
    <row r="392" spans="1:13" x14ac:dyDescent="0.25">
      <c r="A392" s="1" t="s">
        <v>142</v>
      </c>
      <c r="B392" s="1">
        <f t="shared" si="34"/>
        <v>4344</v>
      </c>
      <c r="C392" s="1">
        <f>168+19+29</f>
        <v>216</v>
      </c>
      <c r="D392" s="1">
        <f>103+26+26+4+10</f>
        <v>169</v>
      </c>
      <c r="E392" s="1">
        <f>112+29+29+4+5</f>
        <v>179</v>
      </c>
      <c r="G392" s="1">
        <f>309+71+38+6+4</f>
        <v>428</v>
      </c>
      <c r="H392" s="1">
        <f>326+499+429+151+69</f>
        <v>1474</v>
      </c>
      <c r="I392" s="1">
        <f>400+101+30</f>
        <v>531</v>
      </c>
      <c r="K392" s="1">
        <f>371+72+59+15+7</f>
        <v>524</v>
      </c>
      <c r="L392" s="1">
        <f>384+68+25</f>
        <v>477</v>
      </c>
      <c r="M392" s="1">
        <f>73+113+107+15+38</f>
        <v>346</v>
      </c>
    </row>
    <row r="393" spans="1:13" x14ac:dyDescent="0.25">
      <c r="A393" s="1" t="s">
        <v>144</v>
      </c>
      <c r="B393" s="1">
        <f t="shared" si="34"/>
        <v>4789</v>
      </c>
      <c r="C393" s="1">
        <f>117+36+34+7+6</f>
        <v>200</v>
      </c>
      <c r="D393" s="1">
        <f>97+23+30+6+9</f>
        <v>165</v>
      </c>
      <c r="E393" s="1">
        <f>117+36+34+7+6</f>
        <v>200</v>
      </c>
      <c r="G393" s="1">
        <f>336+103+53+3+4</f>
        <v>499</v>
      </c>
      <c r="H393" s="1">
        <f>327+536+455+153+80</f>
        <v>1551</v>
      </c>
      <c r="I393" s="1">
        <f>415+113+51</f>
        <v>579</v>
      </c>
      <c r="K393" s="1">
        <f>408+100+88+16+8</f>
        <v>620</v>
      </c>
      <c r="L393" s="1">
        <f>409+87+46</f>
        <v>542</v>
      </c>
      <c r="M393" s="1">
        <f>82+156+128+19+48</f>
        <v>433</v>
      </c>
    </row>
    <row r="394" spans="1:13" x14ac:dyDescent="0.25">
      <c r="A394" s="1" t="s">
        <v>148</v>
      </c>
      <c r="B394" s="1">
        <f t="shared" si="34"/>
        <v>4401</v>
      </c>
      <c r="C394" s="1">
        <f>143+35+43</f>
        <v>221</v>
      </c>
      <c r="D394" s="1">
        <f>97+25+45+6+11</f>
        <v>184</v>
      </c>
      <c r="E394" s="1">
        <f>136+34+44+10+3</f>
        <v>227</v>
      </c>
      <c r="G394" s="1">
        <f>329+88+39+6+5</f>
        <v>467</v>
      </c>
      <c r="H394" s="1">
        <f>324+488+434+143+66</f>
        <v>1455</v>
      </c>
      <c r="I394" s="1">
        <f>374+104+32</f>
        <v>510</v>
      </c>
      <c r="K394" s="1">
        <f>399+74+64+18+6</f>
        <v>561</v>
      </c>
      <c r="L394" s="1">
        <f>340+68+32</f>
        <v>440</v>
      </c>
      <c r="M394" s="1">
        <f>77+98+98+17+46</f>
        <v>336</v>
      </c>
    </row>
    <row r="395" spans="1:13" x14ac:dyDescent="0.25">
      <c r="A395" s="1" t="s">
        <v>151</v>
      </c>
      <c r="B395" s="1">
        <f t="shared" si="34"/>
        <v>4261</v>
      </c>
      <c r="C395" s="1">
        <f>155+15+27</f>
        <v>197</v>
      </c>
      <c r="D395" s="1">
        <f>71+33+29+4+5</f>
        <v>142</v>
      </c>
      <c r="E395" s="1">
        <f>125+32+40+9+8</f>
        <v>214</v>
      </c>
      <c r="G395" s="1">
        <f>332+82+59+6+5</f>
        <v>484</v>
      </c>
      <c r="H395" s="1">
        <f>294+483+432+154+75</f>
        <v>1438</v>
      </c>
      <c r="I395" s="1">
        <f>332+115+37</f>
        <v>484</v>
      </c>
      <c r="K395" s="1">
        <f>345+72+74+15+13</f>
        <v>519</v>
      </c>
      <c r="L395" s="1">
        <f>328+59+37</f>
        <v>424</v>
      </c>
      <c r="M395" s="1">
        <f>67+105+114+19+54</f>
        <v>359</v>
      </c>
    </row>
  </sheetData>
  <mergeCells count="1">
    <mergeCell ref="O1:AA1"/>
  </mergeCells>
  <phoneticPr fontId="1" type="noConversion"/>
  <pageMargins left="0.7" right="0.7" top="0.75" bottom="0.75" header="0.3" footer="0.3"/>
  <pageSetup paperSize="9" orientation="portrait" r:id="rId1"/>
  <ignoredErrors>
    <ignoredError sqref="C47 B261 B352 B377 C49 B354 C53 B366 D39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cp:lastPrinted>2022-06-26T15:12:26Z</cp:lastPrinted>
  <dcterms:created xsi:type="dcterms:W3CDTF">2021-06-01T12:48:00Z</dcterms:created>
  <dcterms:modified xsi:type="dcterms:W3CDTF">2022-06-29T15:17:53Z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3998F2043A1049D8B652E1FEAB62CA8E</vt:lpwstr>
  </property>
  <property fmtid="{D5CDD505-2E9C-101B-9397-08002B2CF9AE}" pid="3" name="KSOProductBuildVer">
    <vt:lpwstr>2052-11.1.0.10700</vt:lpwstr>
  </property>
</Properties>
</file>